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\Desktop\Business Ventures\Farm\Farm Company\Production Fields\Nut Production\FINANCE DOCUMENTS\Price List\"/>
    </mc:Choice>
  </mc:AlternateContent>
  <xr:revisionPtr revIDLastSave="0" documentId="13_ncr:1_{5F420F07-7F01-42A3-A8D7-4AA09DB6523A}" xr6:coauthVersionLast="47" xr6:coauthVersionMax="47" xr10:uidLastSave="{00000000-0000-0000-0000-000000000000}"/>
  <bookViews>
    <workbookView xWindow="-120" yWindow="-120" windowWidth="29040" windowHeight="15840" tabRatio="891" firstSheet="5" activeTab="17" xr2:uid="{373A4473-AF5C-47C2-9520-3863080E8FBA}"/>
  </bookViews>
  <sheets>
    <sheet name="Master" sheetId="1" r:id="rId1"/>
    <sheet name="Overheads" sheetId="2" r:id="rId2"/>
    <sheet name="Cost of Macs" sheetId="16" r:id="rId3"/>
    <sheet name="Cost of Pecans" sheetId="17" r:id="rId4"/>
    <sheet name="Cost of Ingredients" sheetId="3" r:id="rId5"/>
    <sheet name="Caramel Macadamia" sheetId="10" r:id="rId6"/>
    <sheet name="Salted Macadamia" sheetId="14" r:id="rId7"/>
    <sheet name="Chocolate Coated Macadamias" sheetId="12" r:id="rId8"/>
    <sheet name="Caramel Pecan" sheetId="9" r:id="rId9"/>
    <sheet name="Pecan Nut Pies " sheetId="4" r:id="rId10"/>
    <sheet name="Nuchi" sheetId="11" r:id="rId11"/>
    <sheet name="Choco Bombs" sheetId="13" r:id="rId12"/>
    <sheet name="Macigiano" sheetId="15" r:id="rId13"/>
    <sheet name="Turmeric Syrup" sheetId="18" r:id="rId14"/>
    <sheet name="Flourentiner" sheetId="6" r:id="rId15"/>
    <sheet name="MacStack" sheetId="7" r:id="rId16"/>
    <sheet name="Pecan Bread" sheetId="19" r:id="rId17"/>
    <sheet name="Granola" sheetId="20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0" l="1"/>
  <c r="D29" i="20" s="1"/>
  <c r="B29" i="20"/>
  <c r="B26" i="20"/>
  <c r="D36" i="20"/>
  <c r="D27" i="20"/>
  <c r="B27" i="20"/>
  <c r="D31" i="3"/>
  <c r="C20" i="20" s="1"/>
  <c r="D20" i="20" s="1"/>
  <c r="C22" i="20"/>
  <c r="D22" i="20" s="1"/>
  <c r="C21" i="20"/>
  <c r="D21" i="20" s="1"/>
  <c r="C19" i="20"/>
  <c r="D19" i="20" s="1"/>
  <c r="C18" i="20"/>
  <c r="D18" i="20" s="1"/>
  <c r="C17" i="20"/>
  <c r="C16" i="20"/>
  <c r="D16" i="20" s="1"/>
  <c r="C15" i="20"/>
  <c r="D15" i="20" s="1"/>
  <c r="C14" i="20"/>
  <c r="D14" i="20" s="1"/>
  <c r="C13" i="20"/>
  <c r="C12" i="20"/>
  <c r="D12" i="20" s="1"/>
  <c r="C11" i="20"/>
  <c r="D11" i="20" s="1"/>
  <c r="C10" i="20"/>
  <c r="D10" i="20" s="1"/>
  <c r="D13" i="20"/>
  <c r="D17" i="20"/>
  <c r="D9" i="20"/>
  <c r="C9" i="20"/>
  <c r="B36" i="20"/>
  <c r="B23" i="20"/>
  <c r="A3" i="20"/>
  <c r="C3" i="20" s="1"/>
  <c r="D23" i="3"/>
  <c r="D24" i="3"/>
  <c r="D25" i="3"/>
  <c r="D26" i="3"/>
  <c r="D27" i="3"/>
  <c r="D28" i="3"/>
  <c r="D29" i="3"/>
  <c r="D30" i="3"/>
  <c r="D22" i="3"/>
  <c r="I4" i="16"/>
  <c r="C4" i="16"/>
  <c r="D4" i="16" s="1"/>
  <c r="B4" i="16"/>
  <c r="I3" i="16"/>
  <c r="B3" i="16"/>
  <c r="C3" i="16"/>
  <c r="D3" i="16" s="1"/>
  <c r="D27" i="1"/>
  <c r="F27" i="1" s="1"/>
  <c r="G27" i="1" s="1"/>
  <c r="D26" i="1"/>
  <c r="F26" i="1" s="1"/>
  <c r="G26" i="1" s="1"/>
  <c r="D25" i="1"/>
  <c r="F25" i="1" s="1"/>
  <c r="G25" i="1" s="1"/>
  <c r="N44" i="4"/>
  <c r="N43" i="4"/>
  <c r="N42" i="4"/>
  <c r="N27" i="4"/>
  <c r="N26" i="4"/>
  <c r="B21" i="19"/>
  <c r="D13" i="19"/>
  <c r="D11" i="19"/>
  <c r="D10" i="19"/>
  <c r="D9" i="19"/>
  <c r="B15" i="19"/>
  <c r="D51" i="19"/>
  <c r="C9" i="19" s="1"/>
  <c r="D4" i="3"/>
  <c r="M36" i="4"/>
  <c r="M32" i="4"/>
  <c r="D45" i="20" l="1"/>
  <c r="D46" i="20" s="1"/>
  <c r="D47" i="20"/>
  <c r="C23" i="20"/>
  <c r="B45" i="20" s="1"/>
  <c r="B46" i="20" s="1"/>
  <c r="B47" i="20" s="1"/>
  <c r="D23" i="20"/>
  <c r="D24" i="20"/>
  <c r="F4" i="16"/>
  <c r="G4" i="16" s="1"/>
  <c r="H4" i="16" s="1"/>
  <c r="F3" i="16"/>
  <c r="G3" i="16" s="1"/>
  <c r="H3" i="16" s="1"/>
  <c r="I27" i="1"/>
  <c r="J27" i="1" s="1"/>
  <c r="I26" i="1"/>
  <c r="J26" i="1" s="1"/>
  <c r="I25" i="1"/>
  <c r="J25" i="1" s="1"/>
  <c r="L36" i="4"/>
  <c r="L34" i="4"/>
  <c r="L22" i="4"/>
  <c r="N15" i="4" s="1"/>
  <c r="L13" i="4"/>
  <c r="N7" i="4" s="1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0" i="19"/>
  <c r="B50" i="19"/>
  <c r="A50" i="19"/>
  <c r="C49" i="19"/>
  <c r="B49" i="19"/>
  <c r="A49" i="19"/>
  <c r="D48" i="19"/>
  <c r="C48" i="19"/>
  <c r="B48" i="19"/>
  <c r="A48" i="19"/>
  <c r="D21" i="3"/>
  <c r="D68" i="19" s="1"/>
  <c r="C12" i="19" s="1"/>
  <c r="B28" i="19"/>
  <c r="A3" i="19"/>
  <c r="C3" i="19" s="1"/>
  <c r="B18" i="19" s="1"/>
  <c r="D20" i="3"/>
  <c r="D67" i="19" s="1"/>
  <c r="C67" i="18"/>
  <c r="A47" i="10"/>
  <c r="B47" i="10"/>
  <c r="C47" i="10"/>
  <c r="A48" i="10"/>
  <c r="B48" i="10"/>
  <c r="C48" i="10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A62" i="10"/>
  <c r="B62" i="10"/>
  <c r="C62" i="10"/>
  <c r="A63" i="10"/>
  <c r="B63" i="10"/>
  <c r="C63" i="10"/>
  <c r="A47" i="14"/>
  <c r="B47" i="14"/>
  <c r="C47" i="14"/>
  <c r="A48" i="14"/>
  <c r="B48" i="14"/>
  <c r="C48" i="14"/>
  <c r="A49" i="14"/>
  <c r="B49" i="14"/>
  <c r="C49" i="14"/>
  <c r="A50" i="14"/>
  <c r="B50" i="14"/>
  <c r="C50" i="14"/>
  <c r="A51" i="14"/>
  <c r="B51" i="14"/>
  <c r="C51" i="14"/>
  <c r="A52" i="14"/>
  <c r="B52" i="14"/>
  <c r="C52" i="14"/>
  <c r="A53" i="14"/>
  <c r="B53" i="14"/>
  <c r="A54" i="14"/>
  <c r="B54" i="14"/>
  <c r="C54" i="14"/>
  <c r="A55" i="14"/>
  <c r="B55" i="14"/>
  <c r="C55" i="14"/>
  <c r="A56" i="14"/>
  <c r="B56" i="14"/>
  <c r="C56" i="14"/>
  <c r="A57" i="14"/>
  <c r="B57" i="14"/>
  <c r="C57" i="14"/>
  <c r="A58" i="14"/>
  <c r="B58" i="14"/>
  <c r="C58" i="14"/>
  <c r="A59" i="14"/>
  <c r="B59" i="14"/>
  <c r="C59" i="14"/>
  <c r="A60" i="14"/>
  <c r="B60" i="14"/>
  <c r="C60" i="14"/>
  <c r="A61" i="14"/>
  <c r="B61" i="14"/>
  <c r="C61" i="14"/>
  <c r="A62" i="14"/>
  <c r="B62" i="14"/>
  <c r="C62" i="14"/>
  <c r="A63" i="14"/>
  <c r="B63" i="14"/>
  <c r="C63" i="14"/>
  <c r="A50" i="12"/>
  <c r="B50" i="12"/>
  <c r="C50" i="12"/>
  <c r="A51" i="12"/>
  <c r="B51" i="12"/>
  <c r="C51" i="12"/>
  <c r="A52" i="12"/>
  <c r="B52" i="12"/>
  <c r="C52" i="12"/>
  <c r="A53" i="12"/>
  <c r="B53" i="12"/>
  <c r="C53" i="12"/>
  <c r="A54" i="12"/>
  <c r="B54" i="12"/>
  <c r="C54" i="12"/>
  <c r="A55" i="12"/>
  <c r="B55" i="12"/>
  <c r="C55" i="12"/>
  <c r="A56" i="12"/>
  <c r="B56" i="12"/>
  <c r="A57" i="12"/>
  <c r="B57" i="12"/>
  <c r="C57" i="12"/>
  <c r="A58" i="12"/>
  <c r="B58" i="12"/>
  <c r="C58" i="12"/>
  <c r="A59" i="12"/>
  <c r="B59" i="12"/>
  <c r="C59" i="12"/>
  <c r="D59" i="12"/>
  <c r="A60" i="12"/>
  <c r="B60" i="12"/>
  <c r="C60" i="12"/>
  <c r="A61" i="12"/>
  <c r="B61" i="12"/>
  <c r="C61" i="12"/>
  <c r="A62" i="12"/>
  <c r="B62" i="12"/>
  <c r="C62" i="12"/>
  <c r="A63" i="12"/>
  <c r="B63" i="12"/>
  <c r="C63" i="12"/>
  <c r="A64" i="12"/>
  <c r="B64" i="12"/>
  <c r="C64" i="12"/>
  <c r="A65" i="12"/>
  <c r="B65" i="12"/>
  <c r="C65" i="12"/>
  <c r="A66" i="12"/>
  <c r="B66" i="12"/>
  <c r="C66" i="12"/>
  <c r="A47" i="9"/>
  <c r="B47" i="9"/>
  <c r="C47" i="9"/>
  <c r="A48" i="9"/>
  <c r="B48" i="9"/>
  <c r="C48" i="9"/>
  <c r="A49" i="9"/>
  <c r="B49" i="9"/>
  <c r="C49" i="9"/>
  <c r="A50" i="9"/>
  <c r="B50" i="9"/>
  <c r="C50" i="9"/>
  <c r="A51" i="9"/>
  <c r="B51" i="9"/>
  <c r="C51" i="9"/>
  <c r="A52" i="9"/>
  <c r="B52" i="9"/>
  <c r="C52" i="9"/>
  <c r="A53" i="9"/>
  <c r="B53" i="9"/>
  <c r="A54" i="9"/>
  <c r="B54" i="9"/>
  <c r="C54" i="9"/>
  <c r="A55" i="9"/>
  <c r="B55" i="9"/>
  <c r="C55" i="9"/>
  <c r="A56" i="9"/>
  <c r="B56" i="9"/>
  <c r="C56" i="9"/>
  <c r="D56" i="9"/>
  <c r="A57" i="9"/>
  <c r="B57" i="9"/>
  <c r="C57" i="9"/>
  <c r="A58" i="9"/>
  <c r="B58" i="9"/>
  <c r="C58" i="9"/>
  <c r="A59" i="9"/>
  <c r="B59" i="9"/>
  <c r="C59" i="9"/>
  <c r="A60" i="9"/>
  <c r="B60" i="9"/>
  <c r="C60" i="9"/>
  <c r="A61" i="9"/>
  <c r="B61" i="9"/>
  <c r="C61" i="9"/>
  <c r="A62" i="9"/>
  <c r="B62" i="9"/>
  <c r="C62" i="9"/>
  <c r="A63" i="9"/>
  <c r="B63" i="9"/>
  <c r="C63" i="9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39" i="11"/>
  <c r="B39" i="11"/>
  <c r="C39" i="11"/>
  <c r="A40" i="11"/>
  <c r="B40" i="11"/>
  <c r="C40" i="11"/>
  <c r="A41" i="11"/>
  <c r="B41" i="11"/>
  <c r="C41" i="11"/>
  <c r="A42" i="11"/>
  <c r="B42" i="11"/>
  <c r="C42" i="11"/>
  <c r="A43" i="11"/>
  <c r="B43" i="11"/>
  <c r="C43" i="11"/>
  <c r="A44" i="11"/>
  <c r="B44" i="11"/>
  <c r="C44" i="11"/>
  <c r="A45" i="11"/>
  <c r="B45" i="11"/>
  <c r="A46" i="11"/>
  <c r="B46" i="11"/>
  <c r="C46" i="11"/>
  <c r="A47" i="11"/>
  <c r="B47" i="11"/>
  <c r="C47" i="11"/>
  <c r="A48" i="11"/>
  <c r="B48" i="11"/>
  <c r="C48" i="11"/>
  <c r="A49" i="11"/>
  <c r="B49" i="11"/>
  <c r="C49" i="11"/>
  <c r="A50" i="11"/>
  <c r="B50" i="11"/>
  <c r="C50" i="11"/>
  <c r="A51" i="11"/>
  <c r="B51" i="11"/>
  <c r="C51" i="11"/>
  <c r="A52" i="11"/>
  <c r="B52" i="11"/>
  <c r="C52" i="11"/>
  <c r="A53" i="11"/>
  <c r="B53" i="11"/>
  <c r="C53" i="11"/>
  <c r="A54" i="11"/>
  <c r="B54" i="11"/>
  <c r="C54" i="11"/>
  <c r="A55" i="11"/>
  <c r="B55" i="11"/>
  <c r="C55" i="11"/>
  <c r="A42" i="13"/>
  <c r="B42" i="13"/>
  <c r="C42" i="13"/>
  <c r="A43" i="13"/>
  <c r="B43" i="13"/>
  <c r="C43" i="13"/>
  <c r="A44" i="13"/>
  <c r="B44" i="13"/>
  <c r="C44" i="13"/>
  <c r="A45" i="13"/>
  <c r="B45" i="13"/>
  <c r="C45" i="13"/>
  <c r="A46" i="13"/>
  <c r="B46" i="13"/>
  <c r="C46" i="13"/>
  <c r="A47" i="13"/>
  <c r="B47" i="13"/>
  <c r="C47" i="13"/>
  <c r="A48" i="13"/>
  <c r="B48" i="13"/>
  <c r="A49" i="13"/>
  <c r="B49" i="13"/>
  <c r="C49" i="13"/>
  <c r="A50" i="13"/>
  <c r="B50" i="13"/>
  <c r="C50" i="13"/>
  <c r="A51" i="13"/>
  <c r="B51" i="13"/>
  <c r="C51" i="13"/>
  <c r="D51" i="13"/>
  <c r="A52" i="13"/>
  <c r="B52" i="13"/>
  <c r="C52" i="13"/>
  <c r="A53" i="13"/>
  <c r="B53" i="13"/>
  <c r="C53" i="13"/>
  <c r="A54" i="13"/>
  <c r="B54" i="13"/>
  <c r="C54" i="13"/>
  <c r="A55" i="13"/>
  <c r="B55" i="13"/>
  <c r="C55" i="13"/>
  <c r="A56" i="13"/>
  <c r="B56" i="13"/>
  <c r="C56" i="13"/>
  <c r="A57" i="13"/>
  <c r="B57" i="13"/>
  <c r="C57" i="13"/>
  <c r="A58" i="13"/>
  <c r="B58" i="13"/>
  <c r="C58" i="13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A55" i="15"/>
  <c r="B55" i="15"/>
  <c r="C55" i="15"/>
  <c r="A56" i="15"/>
  <c r="B56" i="15"/>
  <c r="C56" i="15"/>
  <c r="A57" i="15"/>
  <c r="B57" i="15"/>
  <c r="C57" i="15"/>
  <c r="D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7" i="18"/>
  <c r="B67" i="18"/>
  <c r="D19" i="3"/>
  <c r="D67" i="18" s="1"/>
  <c r="C10" i="18" s="1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D60" i="18"/>
  <c r="C60" i="18"/>
  <c r="B60" i="18"/>
  <c r="A60" i="18"/>
  <c r="C59" i="18"/>
  <c r="B59" i="18"/>
  <c r="A59" i="18"/>
  <c r="C58" i="18"/>
  <c r="B58" i="18"/>
  <c r="A58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D50" i="18"/>
  <c r="C50" i="18"/>
  <c r="B50" i="18"/>
  <c r="A50" i="18"/>
  <c r="B16" i="18"/>
  <c r="A3" i="18"/>
  <c r="C3" i="18" s="1"/>
  <c r="G34" i="4"/>
  <c r="B15" i="12"/>
  <c r="B2" i="16"/>
  <c r="C2" i="16"/>
  <c r="D2" i="16" s="1"/>
  <c r="G25" i="14"/>
  <c r="D12" i="3"/>
  <c r="D59" i="19" s="1"/>
  <c r="F2" i="17"/>
  <c r="G2" i="17" s="1"/>
  <c r="D2" i="17"/>
  <c r="B2" i="17"/>
  <c r="C20" i="18" l="1"/>
  <c r="B20" i="18"/>
  <c r="D12" i="19"/>
  <c r="C15" i="19"/>
  <c r="B19" i="19" s="1"/>
  <c r="D48" i="11"/>
  <c r="D56" i="14"/>
  <c r="C11" i="14" s="1"/>
  <c r="D11" i="14" s="1"/>
  <c r="D63" i="4"/>
  <c r="D56" i="10"/>
  <c r="D66" i="19"/>
  <c r="D64" i="15"/>
  <c r="D58" i="13"/>
  <c r="D55" i="11"/>
  <c r="D70" i="4"/>
  <c r="D63" i="9"/>
  <c r="D66" i="12"/>
  <c r="D63" i="14"/>
  <c r="D63" i="10"/>
  <c r="F2" i="16"/>
  <c r="G2" i="16" s="1"/>
  <c r="C26" i="15"/>
  <c r="B26" i="15"/>
  <c r="B13" i="15"/>
  <c r="B12" i="15"/>
  <c r="B11" i="15"/>
  <c r="B10" i="15"/>
  <c r="B14" i="15" s="1"/>
  <c r="D15" i="19" l="1"/>
  <c r="D16" i="19"/>
  <c r="H2" i="16"/>
  <c r="C9" i="3"/>
  <c r="D47" i="15"/>
  <c r="C47" i="15"/>
  <c r="B47" i="15"/>
  <c r="A47" i="15"/>
  <c r="A3" i="15"/>
  <c r="C3" i="15" s="1"/>
  <c r="B17" i="15" s="1"/>
  <c r="D9" i="3" l="1"/>
  <c r="C53" i="9"/>
  <c r="C56" i="19"/>
  <c r="C56" i="12"/>
  <c r="C57" i="18"/>
  <c r="C45" i="11"/>
  <c r="C53" i="10"/>
  <c r="C60" i="4"/>
  <c r="C54" i="15"/>
  <c r="C48" i="13"/>
  <c r="C53" i="14"/>
  <c r="F26" i="10"/>
  <c r="E26" i="10"/>
  <c r="D26" i="10"/>
  <c r="C26" i="10"/>
  <c r="B26" i="10"/>
  <c r="F26" i="9"/>
  <c r="E26" i="9"/>
  <c r="D26" i="9"/>
  <c r="C26" i="9"/>
  <c r="B26" i="9"/>
  <c r="F25" i="14"/>
  <c r="D25" i="14"/>
  <c r="E25" i="14"/>
  <c r="C25" i="14"/>
  <c r="B25" i="14"/>
  <c r="D46" i="14"/>
  <c r="C46" i="14"/>
  <c r="B46" i="14"/>
  <c r="A46" i="14"/>
  <c r="B13" i="14"/>
  <c r="C3" i="14"/>
  <c r="B16" i="14" s="1"/>
  <c r="A3" i="14"/>
  <c r="D16" i="3"/>
  <c r="D17" i="3"/>
  <c r="D18" i="3"/>
  <c r="D15" i="3"/>
  <c r="D14" i="3"/>
  <c r="D61" i="19" l="1"/>
  <c r="D58" i="10"/>
  <c r="D65" i="4"/>
  <c r="D59" i="15"/>
  <c r="C10" i="15" s="1"/>
  <c r="D10" i="15" s="1"/>
  <c r="D58" i="14"/>
  <c r="D50" i="11"/>
  <c r="D62" i="18"/>
  <c r="D58" i="9"/>
  <c r="D61" i="12"/>
  <c r="D53" i="13"/>
  <c r="D63" i="19"/>
  <c r="D60" i="10"/>
  <c r="D67" i="4"/>
  <c r="D61" i="15"/>
  <c r="D60" i="14"/>
  <c r="D52" i="11"/>
  <c r="D64" i="18"/>
  <c r="D60" i="9"/>
  <c r="D63" i="12"/>
  <c r="D55" i="13"/>
  <c r="D62" i="19"/>
  <c r="C13" i="19" s="1"/>
  <c r="D59" i="10"/>
  <c r="D66" i="4"/>
  <c r="D63" i="18"/>
  <c r="D59" i="9"/>
  <c r="D62" i="12"/>
  <c r="D59" i="14"/>
  <c r="D51" i="11"/>
  <c r="D60" i="15"/>
  <c r="C11" i="15" s="1"/>
  <c r="D11" i="15" s="1"/>
  <c r="D54" i="13"/>
  <c r="D65" i="19"/>
  <c r="D62" i="10"/>
  <c r="D69" i="4"/>
  <c r="D63" i="15"/>
  <c r="D65" i="12"/>
  <c r="D62" i="14"/>
  <c r="D54" i="11"/>
  <c r="D66" i="18"/>
  <c r="D62" i="9"/>
  <c r="D57" i="13"/>
  <c r="D56" i="19"/>
  <c r="D53" i="10"/>
  <c r="C10" i="10" s="1"/>
  <c r="D10" i="10" s="1"/>
  <c r="D60" i="4"/>
  <c r="D57" i="18"/>
  <c r="D53" i="9"/>
  <c r="D56" i="12"/>
  <c r="D53" i="14"/>
  <c r="D45" i="11"/>
  <c r="D54" i="15"/>
  <c r="D48" i="13"/>
  <c r="D64" i="19"/>
  <c r="D61" i="10"/>
  <c r="D68" i="4"/>
  <c r="D65" i="18"/>
  <c r="D61" i="9"/>
  <c r="D61" i="14"/>
  <c r="D53" i="11"/>
  <c r="D62" i="15"/>
  <c r="D64" i="12"/>
  <c r="D56" i="13"/>
  <c r="D13" i="3"/>
  <c r="D30" i="11"/>
  <c r="C30" i="11"/>
  <c r="B28" i="12"/>
  <c r="B22" i="13"/>
  <c r="B15" i="13"/>
  <c r="D41" i="13"/>
  <c r="C41" i="13"/>
  <c r="B41" i="13"/>
  <c r="A41" i="13"/>
  <c r="C28" i="12"/>
  <c r="B12" i="12"/>
  <c r="A49" i="12"/>
  <c r="B49" i="12"/>
  <c r="C49" i="12"/>
  <c r="D49" i="12"/>
  <c r="A46" i="10"/>
  <c r="B46" i="10"/>
  <c r="C46" i="10"/>
  <c r="D46" i="10"/>
  <c r="A46" i="9"/>
  <c r="B46" i="9"/>
  <c r="C46" i="9"/>
  <c r="D46" i="9"/>
  <c r="A38" i="11"/>
  <c r="B38" i="11"/>
  <c r="C38" i="11"/>
  <c r="D38" i="11"/>
  <c r="A53" i="4"/>
  <c r="B53" i="4"/>
  <c r="C53" i="4"/>
  <c r="D53" i="4"/>
  <c r="D8" i="3"/>
  <c r="B30" i="11"/>
  <c r="B22" i="11"/>
  <c r="B13" i="11"/>
  <c r="D11" i="3"/>
  <c r="D10" i="3"/>
  <c r="D7" i="3"/>
  <c r="D6" i="3"/>
  <c r="D5" i="3"/>
  <c r="D3" i="3"/>
  <c r="D2" i="3"/>
  <c r="B13" i="10"/>
  <c r="B13" i="9"/>
  <c r="D58" i="19" l="1"/>
  <c r="D55" i="10"/>
  <c r="D62" i="4"/>
  <c r="D59" i="18"/>
  <c r="D58" i="12"/>
  <c r="D55" i="14"/>
  <c r="D47" i="11"/>
  <c r="C20" i="11" s="1"/>
  <c r="D20" i="11" s="1"/>
  <c r="D55" i="9"/>
  <c r="D56" i="15"/>
  <c r="D50" i="13"/>
  <c r="D53" i="19"/>
  <c r="D50" i="10"/>
  <c r="D57" i="4"/>
  <c r="D50" i="14"/>
  <c r="D42" i="11"/>
  <c r="C10" i="11" s="1"/>
  <c r="D10" i="11" s="1"/>
  <c r="D54" i="18"/>
  <c r="D50" i="9"/>
  <c r="D51" i="15"/>
  <c r="D53" i="12"/>
  <c r="D45" i="13"/>
  <c r="D60" i="19"/>
  <c r="D57" i="10"/>
  <c r="D64" i="4"/>
  <c r="D61" i="18"/>
  <c r="D60" i="12"/>
  <c r="D57" i="14"/>
  <c r="C9" i="14" s="1"/>
  <c r="D9" i="14" s="1"/>
  <c r="D49" i="11"/>
  <c r="D57" i="9"/>
  <c r="D58" i="15"/>
  <c r="D52" i="13"/>
  <c r="D54" i="19"/>
  <c r="D51" i="10"/>
  <c r="D58" i="4"/>
  <c r="D55" i="18"/>
  <c r="D52" i="15"/>
  <c r="D51" i="14"/>
  <c r="D43" i="11"/>
  <c r="C11" i="11" s="1"/>
  <c r="D11" i="11" s="1"/>
  <c r="D51" i="9"/>
  <c r="D54" i="12"/>
  <c r="D46" i="13"/>
  <c r="C11" i="13" s="1"/>
  <c r="D11" i="13" s="1"/>
  <c r="D50" i="19"/>
  <c r="C10" i="19" s="1"/>
  <c r="D48" i="10"/>
  <c r="D55" i="4"/>
  <c r="M17" i="4" s="1"/>
  <c r="D48" i="9"/>
  <c r="D49" i="15"/>
  <c r="D51" i="12"/>
  <c r="D48" i="14"/>
  <c r="D40" i="11"/>
  <c r="C17" i="11" s="1"/>
  <c r="D17" i="11" s="1"/>
  <c r="D52" i="18"/>
  <c r="D43" i="13"/>
  <c r="D57" i="19"/>
  <c r="C11" i="19" s="1"/>
  <c r="D54" i="10"/>
  <c r="D61" i="4"/>
  <c r="D55" i="15"/>
  <c r="D54" i="14"/>
  <c r="D46" i="11"/>
  <c r="C12" i="11" s="1"/>
  <c r="D58" i="18"/>
  <c r="D54" i="9"/>
  <c r="C10" i="9" s="1"/>
  <c r="D10" i="9" s="1"/>
  <c r="D57" i="12"/>
  <c r="D49" i="13"/>
  <c r="C12" i="13" s="1"/>
  <c r="D12" i="13" s="1"/>
  <c r="D52" i="19"/>
  <c r="D49" i="10"/>
  <c r="D56" i="4"/>
  <c r="M19" i="4" s="1"/>
  <c r="N19" i="4" s="1"/>
  <c r="D53" i="18"/>
  <c r="D44" i="13"/>
  <c r="D49" i="14"/>
  <c r="D41" i="11"/>
  <c r="C19" i="11" s="1"/>
  <c r="D49" i="9"/>
  <c r="D50" i="15"/>
  <c r="D52" i="12"/>
  <c r="D55" i="19"/>
  <c r="D52" i="10"/>
  <c r="D59" i="4"/>
  <c r="C26" i="4" s="1"/>
  <c r="D26" i="4" s="1"/>
  <c r="D52" i="14"/>
  <c r="D44" i="11"/>
  <c r="D56" i="18"/>
  <c r="D52" i="9"/>
  <c r="D53" i="15"/>
  <c r="D55" i="12"/>
  <c r="C10" i="12" s="1"/>
  <c r="D47" i="13"/>
  <c r="C13" i="13" s="1"/>
  <c r="D13" i="13" s="1"/>
  <c r="C13" i="15"/>
  <c r="D13" i="15" s="1"/>
  <c r="C12" i="15"/>
  <c r="D12" i="15" s="1"/>
  <c r="D49" i="19"/>
  <c r="D47" i="10"/>
  <c r="C9" i="10" s="1"/>
  <c r="D54" i="4"/>
  <c r="D51" i="18"/>
  <c r="C9" i="18" s="1"/>
  <c r="C16" i="18" s="1"/>
  <c r="D42" i="13"/>
  <c r="C9" i="13" s="1"/>
  <c r="D9" i="13" s="1"/>
  <c r="D47" i="14"/>
  <c r="D39" i="11"/>
  <c r="C9" i="11" s="1"/>
  <c r="D9" i="11" s="1"/>
  <c r="D47" i="9"/>
  <c r="D48" i="15"/>
  <c r="D50" i="12"/>
  <c r="C9" i="15"/>
  <c r="C10" i="14"/>
  <c r="D10" i="14" s="1"/>
  <c r="D13" i="14" s="1"/>
  <c r="D19" i="11"/>
  <c r="C10" i="13"/>
  <c r="D10" i="13" s="1"/>
  <c r="C12" i="4"/>
  <c r="D12" i="11"/>
  <c r="C13" i="10"/>
  <c r="B17" i="10" s="1"/>
  <c r="B19" i="10" s="1"/>
  <c r="C9" i="12" s="1"/>
  <c r="D9" i="10"/>
  <c r="C9" i="9"/>
  <c r="B21" i="18" l="1"/>
  <c r="C21" i="18"/>
  <c r="C23" i="18" s="1"/>
  <c r="C39" i="18" s="1"/>
  <c r="C40" i="18" s="1"/>
  <c r="C41" i="18" s="1"/>
  <c r="H26" i="4"/>
  <c r="M10" i="4"/>
  <c r="N10" i="4" s="1"/>
  <c r="C27" i="4"/>
  <c r="D27" i="4" s="1"/>
  <c r="H27" i="4" s="1"/>
  <c r="D9" i="9"/>
  <c r="D13" i="9" s="1"/>
  <c r="C13" i="9"/>
  <c r="N17" i="4"/>
  <c r="M20" i="4"/>
  <c r="N20" i="4" s="1"/>
  <c r="H20" i="4"/>
  <c r="M18" i="4"/>
  <c r="N18" i="4" s="1"/>
  <c r="M9" i="4"/>
  <c r="C9" i="4"/>
  <c r="M12" i="4"/>
  <c r="N12" i="4" s="1"/>
  <c r="H12" i="4"/>
  <c r="M11" i="4"/>
  <c r="N11" i="4" s="1"/>
  <c r="C11" i="4"/>
  <c r="D23" i="18"/>
  <c r="D39" i="18" s="1"/>
  <c r="D40" i="18" s="1"/>
  <c r="D41" i="18" s="1"/>
  <c r="B23" i="18"/>
  <c r="B39" i="18" s="1"/>
  <c r="B40" i="18" s="1"/>
  <c r="B41" i="18" s="1"/>
  <c r="C18" i="11"/>
  <c r="D18" i="11" s="1"/>
  <c r="D22" i="11" s="1"/>
  <c r="C20" i="4"/>
  <c r="D13" i="10"/>
  <c r="C13" i="14"/>
  <c r="B17" i="14" s="1"/>
  <c r="B19" i="14" s="1"/>
  <c r="G34" i="14" s="1"/>
  <c r="G35" i="14" s="1"/>
  <c r="G36" i="14" s="1"/>
  <c r="D9" i="15"/>
  <c r="D14" i="15" s="1"/>
  <c r="C14" i="15"/>
  <c r="B18" i="15" s="1"/>
  <c r="D15" i="13"/>
  <c r="C15" i="13"/>
  <c r="C17" i="13" s="1"/>
  <c r="C18" i="13" s="1"/>
  <c r="D13" i="11"/>
  <c r="C13" i="11"/>
  <c r="D14" i="10"/>
  <c r="D14" i="9"/>
  <c r="B17" i="9"/>
  <c r="B19" i="9" s="1"/>
  <c r="C22" i="11" l="1"/>
  <c r="N9" i="4"/>
  <c r="N13" i="4" s="1"/>
  <c r="M13" i="4"/>
  <c r="M22" i="4"/>
  <c r="B37" i="19"/>
  <c r="B38" i="19" s="1"/>
  <c r="B39" i="19" s="1"/>
  <c r="N22" i="4"/>
  <c r="B20" i="15"/>
  <c r="B35" i="15" s="1"/>
  <c r="D14" i="14"/>
  <c r="D34" i="14"/>
  <c r="E34" i="14"/>
  <c r="C34" i="14"/>
  <c r="F34" i="14"/>
  <c r="B34" i="14"/>
  <c r="B21" i="13"/>
  <c r="D23" i="11"/>
  <c r="N23" i="4" l="1"/>
  <c r="B27" i="11"/>
  <c r="D27" i="11"/>
  <c r="C27" i="11"/>
  <c r="D10" i="1"/>
  <c r="C35" i="14"/>
  <c r="C36" i="14" s="1"/>
  <c r="E35" i="14"/>
  <c r="E36" i="14" s="1"/>
  <c r="D12" i="1"/>
  <c r="D35" i="14"/>
  <c r="D36" i="14" s="1"/>
  <c r="D11" i="1"/>
  <c r="C35" i="15"/>
  <c r="D9" i="1"/>
  <c r="B35" i="14"/>
  <c r="B36" i="14" s="1"/>
  <c r="F35" i="14"/>
  <c r="F36" i="14" s="1"/>
  <c r="D13" i="1"/>
  <c r="B34" i="4"/>
  <c r="G22" i="4"/>
  <c r="G13" i="4"/>
  <c r="C17" i="4"/>
  <c r="C19" i="4"/>
  <c r="H10" i="4"/>
  <c r="I10" i="4" s="1"/>
  <c r="H11" i="4"/>
  <c r="I11" i="4" s="1"/>
  <c r="H18" i="4"/>
  <c r="I18" i="4" s="1"/>
  <c r="B22" i="4"/>
  <c r="B13" i="4"/>
  <c r="O4" i="6"/>
  <c r="O5" i="6"/>
  <c r="O6" i="6"/>
  <c r="O3" i="6"/>
  <c r="M4" i="6"/>
  <c r="M5" i="6"/>
  <c r="M6" i="6"/>
  <c r="M3" i="6"/>
  <c r="K4" i="6"/>
  <c r="K5" i="6"/>
  <c r="K6" i="6"/>
  <c r="K3" i="6"/>
  <c r="I4" i="6"/>
  <c r="I5" i="6"/>
  <c r="I6" i="6"/>
  <c r="I3" i="6"/>
  <c r="G4" i="6"/>
  <c r="G5" i="6"/>
  <c r="G6" i="6"/>
  <c r="G3" i="6"/>
  <c r="E4" i="6"/>
  <c r="E5" i="6"/>
  <c r="E6" i="6"/>
  <c r="E3" i="6"/>
  <c r="B25" i="6"/>
  <c r="B23" i="6"/>
  <c r="B21" i="6"/>
  <c r="B18" i="6"/>
  <c r="B15" i="6"/>
  <c r="B12" i="6"/>
  <c r="C6" i="6"/>
  <c r="C5" i="6"/>
  <c r="N4" i="6"/>
  <c r="N5" i="6" s="1"/>
  <c r="C4" i="6"/>
  <c r="C3" i="6"/>
  <c r="C44" i="2"/>
  <c r="E44" i="2"/>
  <c r="D44" i="2"/>
  <c r="D31" i="2"/>
  <c r="D32" i="2" s="1"/>
  <c r="E31" i="2"/>
  <c r="E32" i="2" s="1"/>
  <c r="C31" i="2"/>
  <c r="C32" i="2" s="1"/>
  <c r="E45" i="2"/>
  <c r="B11" i="2"/>
  <c r="C9" i="2"/>
  <c r="C8" i="2"/>
  <c r="C7" i="2"/>
  <c r="C6" i="2"/>
  <c r="C5" i="2"/>
  <c r="C4" i="2"/>
  <c r="C3" i="2"/>
  <c r="C2" i="2"/>
  <c r="M31" i="4" l="1"/>
  <c r="L31" i="4"/>
  <c r="I13" i="1"/>
  <c r="J13" i="1" s="1"/>
  <c r="F13" i="1"/>
  <c r="G13" i="1" s="1"/>
  <c r="D33" i="1"/>
  <c r="C36" i="15"/>
  <c r="C37" i="15" s="1"/>
  <c r="I12" i="1"/>
  <c r="J12" i="1" s="1"/>
  <c r="F12" i="1"/>
  <c r="G12" i="1" s="1"/>
  <c r="D32" i="1"/>
  <c r="B36" i="15"/>
  <c r="B37" i="15" s="1"/>
  <c r="I11" i="1"/>
  <c r="J11" i="1" s="1"/>
  <c r="F11" i="1"/>
  <c r="G11" i="1" s="1"/>
  <c r="I9" i="1"/>
  <c r="J9" i="1" s="1"/>
  <c r="F9" i="1"/>
  <c r="G9" i="1" s="1"/>
  <c r="F10" i="1"/>
  <c r="G10" i="1" s="1"/>
  <c r="I10" i="1"/>
  <c r="J10" i="1" s="1"/>
  <c r="A3" i="12"/>
  <c r="C3" i="12" s="1"/>
  <c r="A3" i="13"/>
  <c r="A3" i="11"/>
  <c r="A3" i="10"/>
  <c r="C3" i="10" s="1"/>
  <c r="B16" i="10" s="1"/>
  <c r="A3" i="9"/>
  <c r="C3" i="9" s="1"/>
  <c r="B16" i="9" s="1"/>
  <c r="H19" i="4"/>
  <c r="I19" i="4" s="1"/>
  <c r="I12" i="4"/>
  <c r="C10" i="4"/>
  <c r="D10" i="4" s="1"/>
  <c r="D20" i="4"/>
  <c r="I20" i="4"/>
  <c r="D9" i="4"/>
  <c r="H9" i="4"/>
  <c r="H17" i="4"/>
  <c r="C18" i="4"/>
  <c r="D18" i="4" s="1"/>
  <c r="D12" i="4"/>
  <c r="D19" i="4"/>
  <c r="D11" i="4"/>
  <c r="P4" i="6"/>
  <c r="R4" i="6" s="1"/>
  <c r="S4" i="6" s="1"/>
  <c r="P6" i="6"/>
  <c r="R6" i="6" s="1"/>
  <c r="S6" i="6" s="1"/>
  <c r="P3" i="6"/>
  <c r="R3" i="6" s="1"/>
  <c r="S3" i="6" s="1"/>
  <c r="P5" i="6"/>
  <c r="R5" i="6" s="1"/>
  <c r="S5" i="6" s="1"/>
  <c r="D17" i="4"/>
  <c r="N6" i="6"/>
  <c r="D45" i="2"/>
  <c r="C45" i="2"/>
  <c r="A3" i="4"/>
  <c r="M30" i="4" s="1"/>
  <c r="C11" i="2"/>
  <c r="F11" i="2" s="1"/>
  <c r="M42" i="4" l="1"/>
  <c r="G30" i="4"/>
  <c r="L30" i="4"/>
  <c r="L42" i="4" s="1"/>
  <c r="C12" i="12"/>
  <c r="B16" i="12" s="1"/>
  <c r="E35" i="9"/>
  <c r="D35" i="9"/>
  <c r="F35" i="9"/>
  <c r="C35" i="9"/>
  <c r="B35" i="9"/>
  <c r="I32" i="1"/>
  <c r="J32" i="1" s="1"/>
  <c r="F32" i="1"/>
  <c r="G32" i="1" s="1"/>
  <c r="F33" i="1"/>
  <c r="G33" i="1" s="1"/>
  <c r="I33" i="1"/>
  <c r="J33" i="1" s="1"/>
  <c r="D35" i="10"/>
  <c r="B35" i="10"/>
  <c r="E35" i="10"/>
  <c r="F35" i="10"/>
  <c r="C35" i="10"/>
  <c r="C3" i="13"/>
  <c r="B20" i="13"/>
  <c r="B30" i="13" s="1"/>
  <c r="C26" i="11"/>
  <c r="B26" i="11"/>
  <c r="B32" i="11" s="1"/>
  <c r="C3" i="11"/>
  <c r="C32" i="11" s="1"/>
  <c r="H22" i="4"/>
  <c r="I17" i="4"/>
  <c r="I22" i="4" s="1"/>
  <c r="B30" i="4"/>
  <c r="C22" i="4"/>
  <c r="H13" i="4"/>
  <c r="I13" i="4" s="1"/>
  <c r="I9" i="4"/>
  <c r="D22" i="4"/>
  <c r="D13" i="4"/>
  <c r="C13" i="4"/>
  <c r="C3" i="4"/>
  <c r="C47" i="2"/>
  <c r="C20" i="12" l="1"/>
  <c r="C23" i="12" s="1"/>
  <c r="C37" i="12" s="1"/>
  <c r="B20" i="12"/>
  <c r="L43" i="4"/>
  <c r="L44" i="4" s="1"/>
  <c r="D23" i="1"/>
  <c r="M43" i="4"/>
  <c r="M44" i="4" s="1"/>
  <c r="D24" i="1"/>
  <c r="B23" i="12"/>
  <c r="B37" i="12" s="1"/>
  <c r="B38" i="12" s="1"/>
  <c r="B39" i="12" s="1"/>
  <c r="F36" i="9"/>
  <c r="F37" i="9" s="1"/>
  <c r="D20" i="1"/>
  <c r="D36" i="9"/>
  <c r="D37" i="9" s="1"/>
  <c r="D18" i="1"/>
  <c r="C36" i="9"/>
  <c r="C37" i="9" s="1"/>
  <c r="D17" i="1"/>
  <c r="B36" i="9"/>
  <c r="B37" i="9" s="1"/>
  <c r="D16" i="1"/>
  <c r="E36" i="9"/>
  <c r="E37" i="9" s="1"/>
  <c r="D19" i="1"/>
  <c r="C33" i="11"/>
  <c r="C34" i="11" s="1"/>
  <c r="D29" i="1"/>
  <c r="B33" i="11"/>
  <c r="B34" i="11" s="1"/>
  <c r="D28" i="1"/>
  <c r="B31" i="13"/>
  <c r="B32" i="13" s="1"/>
  <c r="D31" i="1"/>
  <c r="F36" i="10"/>
  <c r="F37" i="10" s="1"/>
  <c r="D8" i="1"/>
  <c r="E36" i="10"/>
  <c r="E37" i="10" s="1"/>
  <c r="D7" i="1"/>
  <c r="D4" i="1"/>
  <c r="B36" i="10"/>
  <c r="B37" i="10" s="1"/>
  <c r="C36" i="10"/>
  <c r="C37" i="10" s="1"/>
  <c r="D5" i="1"/>
  <c r="D6" i="1"/>
  <c r="D36" i="10"/>
  <c r="D37" i="10" s="1"/>
  <c r="D26" i="11"/>
  <c r="D32" i="11" s="1"/>
  <c r="D23" i="4"/>
  <c r="B31" i="4" s="1"/>
  <c r="B42" i="4" s="1"/>
  <c r="I23" i="4"/>
  <c r="G31" i="4" s="1"/>
  <c r="H42" i="4" s="1"/>
  <c r="H43" i="4" s="1"/>
  <c r="H44" i="4" s="1"/>
  <c r="C42" i="4" l="1"/>
  <c r="C43" i="4" s="1"/>
  <c r="C44" i="4" s="1"/>
  <c r="C45" i="4" s="1"/>
  <c r="D14" i="1"/>
  <c r="F14" i="1" s="1"/>
  <c r="F23" i="1"/>
  <c r="G23" i="1" s="1"/>
  <c r="I23" i="1"/>
  <c r="J23" i="1" s="1"/>
  <c r="I16" i="1"/>
  <c r="J16" i="1" s="1"/>
  <c r="F16" i="1"/>
  <c r="G16" i="1" s="1"/>
  <c r="F18" i="1"/>
  <c r="G18" i="1" s="1"/>
  <c r="I18" i="1"/>
  <c r="J18" i="1" s="1"/>
  <c r="F19" i="1"/>
  <c r="G19" i="1" s="1"/>
  <c r="I19" i="1"/>
  <c r="J19" i="1" s="1"/>
  <c r="I17" i="1"/>
  <c r="J17" i="1" s="1"/>
  <c r="F17" i="1"/>
  <c r="G17" i="1" s="1"/>
  <c r="I20" i="1"/>
  <c r="J20" i="1" s="1"/>
  <c r="F20" i="1"/>
  <c r="G20" i="1" s="1"/>
  <c r="G42" i="4"/>
  <c r="D22" i="1" s="1"/>
  <c r="D21" i="1"/>
  <c r="I29" i="1"/>
  <c r="J29" i="1" s="1"/>
  <c r="F29" i="1"/>
  <c r="G29" i="1" s="1"/>
  <c r="F28" i="1"/>
  <c r="G28" i="1" s="1"/>
  <c r="I28" i="1"/>
  <c r="J28" i="1" s="1"/>
  <c r="D33" i="11"/>
  <c r="D34" i="11" s="1"/>
  <c r="D30" i="1"/>
  <c r="F31" i="1"/>
  <c r="G31" i="1" s="1"/>
  <c r="I31" i="1"/>
  <c r="J31" i="1" s="1"/>
  <c r="F7" i="1"/>
  <c r="G7" i="1" s="1"/>
  <c r="I7" i="1"/>
  <c r="J7" i="1" s="1"/>
  <c r="F6" i="1"/>
  <c r="G6" i="1" s="1"/>
  <c r="I6" i="1"/>
  <c r="J6" i="1" s="1"/>
  <c r="C38" i="12"/>
  <c r="C39" i="12" s="1"/>
  <c r="D15" i="1"/>
  <c r="F5" i="1"/>
  <c r="G5" i="1" s="1"/>
  <c r="I5" i="1"/>
  <c r="J5" i="1" s="1"/>
  <c r="I8" i="1"/>
  <c r="J8" i="1" s="1"/>
  <c r="F8" i="1"/>
  <c r="G8" i="1" s="1"/>
  <c r="I4" i="1"/>
  <c r="J4" i="1" s="1"/>
  <c r="F4" i="1"/>
  <c r="I14" i="1" l="1"/>
  <c r="J14" i="1" s="1"/>
  <c r="F22" i="1"/>
  <c r="G22" i="1" s="1"/>
  <c r="I22" i="1"/>
  <c r="J22" i="1" s="1"/>
  <c r="I21" i="1"/>
  <c r="J21" i="1" s="1"/>
  <c r="F21" i="1"/>
  <c r="G21" i="1" s="1"/>
  <c r="B43" i="4"/>
  <c r="B44" i="4" s="1"/>
  <c r="B45" i="4" s="1"/>
  <c r="F24" i="1"/>
  <c r="G24" i="1" s="1"/>
  <c r="I24" i="1"/>
  <c r="J24" i="1" s="1"/>
  <c r="G43" i="4"/>
  <c r="G44" i="4" s="1"/>
  <c r="I30" i="1"/>
  <c r="J30" i="1" s="1"/>
  <c r="F30" i="1"/>
  <c r="G30" i="1" s="1"/>
  <c r="G14" i="1"/>
  <c r="F15" i="1"/>
  <c r="G15" i="1" s="1"/>
  <c r="I15" i="1"/>
  <c r="J15" i="1" s="1"/>
</calcChain>
</file>

<file path=xl/sharedStrings.xml><?xml version="1.0" encoding="utf-8"?>
<sst xmlns="http://schemas.openxmlformats.org/spreadsheetml/2006/main" count="606" uniqueCount="287">
  <si>
    <t>Product</t>
  </si>
  <si>
    <t>Pecan Nut Pies</t>
  </si>
  <si>
    <t>Cost Price</t>
  </si>
  <si>
    <t>Overheads</t>
  </si>
  <si>
    <t>Per Month</t>
  </si>
  <si>
    <t>Per Day(22 working days)</t>
  </si>
  <si>
    <t>Kernel Recovery per day</t>
  </si>
  <si>
    <t>Cost of nuts</t>
  </si>
  <si>
    <t>Rent</t>
  </si>
  <si>
    <t>Administrative Costs</t>
  </si>
  <si>
    <t>Utilities</t>
  </si>
  <si>
    <t>Insurance</t>
  </si>
  <si>
    <t>Sales and Marketing</t>
  </si>
  <si>
    <t>Repair &amp; Maintenance</t>
  </si>
  <si>
    <t>Labour</t>
  </si>
  <si>
    <t>Packaging</t>
  </si>
  <si>
    <t>misalani</t>
  </si>
  <si>
    <t>Total</t>
  </si>
  <si>
    <t>TOTALS</t>
  </si>
  <si>
    <t>Cracking and Drying</t>
  </si>
  <si>
    <t>Manufacturing</t>
  </si>
  <si>
    <t>Marketing and Sales</t>
  </si>
  <si>
    <t>OVERHEADS</t>
  </si>
  <si>
    <t>Utility Overheads</t>
  </si>
  <si>
    <t>Gas</t>
  </si>
  <si>
    <t>Water</t>
  </si>
  <si>
    <t>Electricity</t>
  </si>
  <si>
    <t>Internet</t>
  </si>
  <si>
    <t>Telephone</t>
  </si>
  <si>
    <t>Admin overheads</t>
  </si>
  <si>
    <t>Adimin Costs</t>
  </si>
  <si>
    <t>Repair and Maitenance</t>
  </si>
  <si>
    <t>COGS</t>
  </si>
  <si>
    <t>TOTAL/Month</t>
  </si>
  <si>
    <t>TOTAL/Day</t>
  </si>
  <si>
    <t>exl Ingredients</t>
  </si>
  <si>
    <t>Total/Month</t>
  </si>
  <si>
    <t>Total/ Day</t>
  </si>
  <si>
    <t>Price of Nuts</t>
  </si>
  <si>
    <t>Quantity of Nuts</t>
  </si>
  <si>
    <t>Labour per day</t>
  </si>
  <si>
    <t>Labour overheads</t>
  </si>
  <si>
    <t>Total Cost</t>
  </si>
  <si>
    <t>Daily Utility Overheads</t>
  </si>
  <si>
    <t>Sugar</t>
  </si>
  <si>
    <t>Creame</t>
  </si>
  <si>
    <t>Honey</t>
  </si>
  <si>
    <t>Flour</t>
  </si>
  <si>
    <t>Butter</t>
  </si>
  <si>
    <t>Eggs</t>
  </si>
  <si>
    <t>Nuts</t>
  </si>
  <si>
    <t>Labour and Utilities</t>
  </si>
  <si>
    <t>Ingredient Total</t>
  </si>
  <si>
    <t>Quantity of Chocolate</t>
  </si>
  <si>
    <t>Cost of 1 kg Chocolate</t>
  </si>
  <si>
    <t xml:space="preserve">Cost of Chocolate </t>
  </si>
  <si>
    <t>Cost per gram</t>
  </si>
  <si>
    <t>Quantity of Sugar</t>
  </si>
  <si>
    <t>Quantity of Cream</t>
  </si>
  <si>
    <t>Cost of Sugar</t>
  </si>
  <si>
    <t>Cost of Cream</t>
  </si>
  <si>
    <t>Cost of 1l Cream</t>
  </si>
  <si>
    <t>Cost of 1 kg Sugar</t>
  </si>
  <si>
    <t>Cost per ml</t>
  </si>
  <si>
    <t>Flourentiner</t>
  </si>
  <si>
    <t>No of Packets</t>
  </si>
  <si>
    <t>Cost of Butter</t>
  </si>
  <si>
    <t>Cost of Honey</t>
  </si>
  <si>
    <t>Cost of Raisens</t>
  </si>
  <si>
    <t>Cost of Raisens 500g</t>
  </si>
  <si>
    <t>Cost of Honey 250ml</t>
  </si>
  <si>
    <t>Cost of Butter 1 kg</t>
  </si>
  <si>
    <t>Cot per g</t>
  </si>
  <si>
    <t>cost per ml</t>
  </si>
  <si>
    <t>Cost per g</t>
  </si>
  <si>
    <t>Quantity of Butter</t>
  </si>
  <si>
    <t>Quantity of Honey</t>
  </si>
  <si>
    <t>Quantitity of Raisens</t>
  </si>
  <si>
    <t>Cost Per Packet</t>
  </si>
  <si>
    <t>Wholesale price</t>
  </si>
  <si>
    <t>Ingredients</t>
  </si>
  <si>
    <t>Quantity</t>
  </si>
  <si>
    <t>Cost</t>
  </si>
  <si>
    <t>Cost of ingredients</t>
  </si>
  <si>
    <t>Margerine</t>
  </si>
  <si>
    <t>Unit Cost</t>
  </si>
  <si>
    <t>Cost per pie</t>
  </si>
  <si>
    <t>Cost (23.10.2023)</t>
  </si>
  <si>
    <t>Total Ingredient cost Per Pie</t>
  </si>
  <si>
    <t>Cake Box with Window</t>
  </si>
  <si>
    <t>Sticker</t>
  </si>
  <si>
    <t>Shipping box</t>
  </si>
  <si>
    <t>Mark-up 30%</t>
  </si>
  <si>
    <t>VAT 15%</t>
  </si>
  <si>
    <t>Cost small per pie</t>
  </si>
  <si>
    <t>Packaging material</t>
  </si>
  <si>
    <t>Aliminium form</t>
  </si>
  <si>
    <t>Plastic bags and stickers</t>
  </si>
  <si>
    <t>Caramel Macadamia</t>
  </si>
  <si>
    <t>Total Cost for 15 kg</t>
  </si>
  <si>
    <t>Cost per kg Caramel Nut</t>
  </si>
  <si>
    <t>Ingredient Cost</t>
  </si>
  <si>
    <t>Daily Utility cost</t>
  </si>
  <si>
    <t>Total Cost of Product before packaging</t>
  </si>
  <si>
    <t>Paper pouch</t>
  </si>
  <si>
    <t>Stickers</t>
  </si>
  <si>
    <t>Macadamia Nuts</t>
  </si>
  <si>
    <t>Pecan Nuts</t>
  </si>
  <si>
    <t>Total Ingredient cost Per Nuchi</t>
  </si>
  <si>
    <t>Pouch</t>
  </si>
  <si>
    <t>Cost per Nuchi</t>
  </si>
  <si>
    <t>390 Nuchi filling</t>
  </si>
  <si>
    <t>Chocolate</t>
  </si>
  <si>
    <t>Large Pies (8 Pie Portion)</t>
  </si>
  <si>
    <t>198 Nuchi Dough</t>
  </si>
  <si>
    <t>Labour and Utilities @ 32 large pies per day</t>
  </si>
  <si>
    <t>Icing Sugar Deco</t>
  </si>
  <si>
    <t>Plastic Packaging</t>
  </si>
  <si>
    <t>Pecan  Deco</t>
  </si>
  <si>
    <t>Cost per kg  before packaging</t>
  </si>
  <si>
    <t>200g Pouch</t>
  </si>
  <si>
    <t>85g Pouch</t>
  </si>
  <si>
    <t>Cost per Ball</t>
  </si>
  <si>
    <t xml:space="preserve">Coconut </t>
  </si>
  <si>
    <t xml:space="preserve">Cacao  </t>
  </si>
  <si>
    <t>Cost per ball</t>
  </si>
  <si>
    <t>Labour and Utilities @ 400 bombs per day</t>
  </si>
  <si>
    <t>Chocolate coated Macadamia</t>
  </si>
  <si>
    <t>Pouch 11</t>
  </si>
  <si>
    <t>Pouch 4</t>
  </si>
  <si>
    <t>Singles</t>
  </si>
  <si>
    <t>Palm Oil</t>
  </si>
  <si>
    <t>Six Guns Spice</t>
  </si>
  <si>
    <t>Nutritional Yeast</t>
  </si>
  <si>
    <t>Salt and Pepper</t>
  </si>
  <si>
    <t>Paprika</t>
  </si>
  <si>
    <t>Turmeric</t>
  </si>
  <si>
    <t>Herbs</t>
  </si>
  <si>
    <t>Spices</t>
  </si>
  <si>
    <t>Oil</t>
  </si>
  <si>
    <t>1 kg</t>
  </si>
  <si>
    <t>500g</t>
  </si>
  <si>
    <t>200g</t>
  </si>
  <si>
    <t>100g</t>
  </si>
  <si>
    <t>50g</t>
  </si>
  <si>
    <t>1kg</t>
  </si>
  <si>
    <t>Salted Macadamia</t>
  </si>
  <si>
    <t>Caramel Pecans</t>
  </si>
  <si>
    <t>Pecan Pie</t>
  </si>
  <si>
    <t>Large</t>
  </si>
  <si>
    <t>Small</t>
  </si>
  <si>
    <t>Nuchi</t>
  </si>
  <si>
    <t>Single</t>
  </si>
  <si>
    <t>Choc Coated Macadamia</t>
  </si>
  <si>
    <t>85g</t>
  </si>
  <si>
    <t>Choco Bombs</t>
  </si>
  <si>
    <t>Macigiano</t>
  </si>
  <si>
    <t>Mark-up</t>
  </si>
  <si>
    <t>Wholesale exl VAT</t>
  </si>
  <si>
    <t>Wholesale incl VAT</t>
  </si>
  <si>
    <t>Retail Excl VAT</t>
  </si>
  <si>
    <t>Retail incl VAT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</si>
  <si>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</si>
  <si>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</si>
  <si>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</si>
  <si>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</si>
  <si>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</si>
  <si>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</si>
  <si>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</si>
  <si>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</si>
  <si>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Salted/Spiced Macadamia</t>
  </si>
  <si>
    <t>Powdered Garlic</t>
  </si>
  <si>
    <t>Turmeric/Herbs/Paprika</t>
  </si>
  <si>
    <t>55g</t>
  </si>
  <si>
    <t>Large 55g</t>
  </si>
  <si>
    <t>Quantity of NIS</t>
  </si>
  <si>
    <t>Cost of Cracking</t>
  </si>
  <si>
    <t>Total SK Recovery</t>
  </si>
  <si>
    <t>Cost per KG</t>
  </si>
  <si>
    <t>Cost per kg</t>
  </si>
  <si>
    <t>Cost per KG NIS</t>
  </si>
  <si>
    <t>30 mark up</t>
  </si>
  <si>
    <t>Cost to purchase nuts @R25/kg</t>
  </si>
  <si>
    <t>Total cost</t>
  </si>
  <si>
    <t>Column62</t>
  </si>
  <si>
    <t>Retail Mark-up</t>
  </si>
  <si>
    <t>Plastic Bag</t>
  </si>
  <si>
    <t>40g</t>
  </si>
  <si>
    <t>Cost per kg Salted Nut</t>
  </si>
  <si>
    <t>15 kg Salted Nuts</t>
  </si>
  <si>
    <t>7.5l Turmeric Syrup</t>
  </si>
  <si>
    <t>Turmeric Root</t>
  </si>
  <si>
    <t>Cinnamon sticks</t>
  </si>
  <si>
    <t>Cardomon Seeds</t>
  </si>
  <si>
    <t>Cloves</t>
  </si>
  <si>
    <t>Black Pepper Tsp</t>
  </si>
  <si>
    <t>750ml</t>
  </si>
  <si>
    <t>Bottle</t>
  </si>
  <si>
    <t>Brown Flour</t>
  </si>
  <si>
    <t>Yeast</t>
  </si>
  <si>
    <t>Salt</t>
  </si>
  <si>
    <t>Cost to make 1 bread</t>
  </si>
  <si>
    <t>375ml</t>
  </si>
  <si>
    <t>Medium Pie (55 Portions of Filling)</t>
  </si>
  <si>
    <t>Medium Pie (80 Portions of dough)</t>
  </si>
  <si>
    <t>Small Pie (91 Portions of dough)</t>
  </si>
  <si>
    <t>Labour and Utilities @ 100 Medium pies per day</t>
  </si>
  <si>
    <t>1 Pie</t>
  </si>
  <si>
    <t>Pack of 6 pies</t>
  </si>
  <si>
    <t>Column12</t>
  </si>
  <si>
    <t>Code</t>
  </si>
  <si>
    <t>Macadmia Pie</t>
  </si>
  <si>
    <t>Medium</t>
  </si>
  <si>
    <t>Small (6)</t>
  </si>
  <si>
    <t>WCM1000/RCM1000</t>
  </si>
  <si>
    <t>WCM500/RCM500</t>
  </si>
  <si>
    <t>WCM200/RCM200</t>
  </si>
  <si>
    <t>WCM100/RCM100</t>
  </si>
  <si>
    <t>WCM50/RCM50</t>
  </si>
  <si>
    <t>WSM1000/RSM1000</t>
  </si>
  <si>
    <t>WSM500/RSM500</t>
  </si>
  <si>
    <t>WSM200/RSM200</t>
  </si>
  <si>
    <t>WSM100/RSM100</t>
  </si>
  <si>
    <t>WSM50/RSM50</t>
  </si>
  <si>
    <t>WPM200/RPM200</t>
  </si>
  <si>
    <t>WPM85/RPM85</t>
  </si>
  <si>
    <t>WCP1000/RCP1000</t>
  </si>
  <si>
    <t>WCP500/RCP500</t>
  </si>
  <si>
    <t>WCP200/RCP200</t>
  </si>
  <si>
    <t>WCP100/RCP100</t>
  </si>
  <si>
    <t>WCP50/RCP50</t>
  </si>
  <si>
    <t>WPP(L)(M(S6)/RPP(L)(M(S6)</t>
  </si>
  <si>
    <t>WMP(L)(M(S6)/RMP(L)(M(S6)</t>
  </si>
  <si>
    <t>WM240/RM240</t>
  </si>
  <si>
    <t>WM55/RM55</t>
  </si>
  <si>
    <t>WNS</t>
  </si>
  <si>
    <t>WNUCP(L)(S)/RNUCP(L)(S)- WNUCM(L)(S)/RNUCM(L)(S)</t>
  </si>
  <si>
    <t>WNUCSP(L)(S)/RNUCSP(L)(S) - WNUCSM(L)(S)/RNUCSM(L)(S)</t>
  </si>
  <si>
    <t>WCB/RCB</t>
  </si>
  <si>
    <t>Small singles</t>
  </si>
  <si>
    <t>Small Singel</t>
  </si>
  <si>
    <t>Labour and Utilities per pie @ 500 small pies per day</t>
  </si>
  <si>
    <t>Total Cost for 8 kg</t>
  </si>
  <si>
    <t>8 kg Caramel Nuts</t>
  </si>
  <si>
    <t>8 kg Chocolate Coated Nuts</t>
  </si>
  <si>
    <t>Small Pie (202 Portions of Filling)</t>
  </si>
  <si>
    <t>White Flour</t>
  </si>
  <si>
    <t>Total Cost per bread</t>
  </si>
  <si>
    <t>Small 200g</t>
  </si>
  <si>
    <t>Flour White</t>
  </si>
  <si>
    <t>Fliour Brown</t>
  </si>
  <si>
    <t>Flour Brown</t>
  </si>
  <si>
    <t>Ingredients to make 4 Breads</t>
  </si>
  <si>
    <t>Genash Filling</t>
  </si>
  <si>
    <t>Pecan Genash</t>
  </si>
  <si>
    <t>8 Pies</t>
  </si>
  <si>
    <t>VAT real</t>
  </si>
  <si>
    <t>1 Pie Genash</t>
  </si>
  <si>
    <t>1 Medium Pies</t>
  </si>
  <si>
    <t>1 Small Pies</t>
  </si>
  <si>
    <t>Pecan Genash Large</t>
  </si>
  <si>
    <t>Pecan Genash Small</t>
  </si>
  <si>
    <t>Pecan Gensh Medium</t>
  </si>
  <si>
    <t>Mlarge</t>
  </si>
  <si>
    <t>500ml</t>
  </si>
  <si>
    <t>15l Turmeric Syrup</t>
  </si>
  <si>
    <t>7.5l Tuermris syrup</t>
  </si>
  <si>
    <t>Oats</t>
  </si>
  <si>
    <t>Sunflower Seeds</t>
  </si>
  <si>
    <t>Sesame Seeds</t>
  </si>
  <si>
    <t>Linseed</t>
  </si>
  <si>
    <t>Poppy Seeds</t>
  </si>
  <si>
    <t>Coconut</t>
  </si>
  <si>
    <t>Cocao Powder</t>
  </si>
  <si>
    <t>Raisins</t>
  </si>
  <si>
    <t>Bran</t>
  </si>
  <si>
    <t>Granola</t>
  </si>
  <si>
    <t>Makes 6 300g packets</t>
  </si>
  <si>
    <t>Linseeds</t>
  </si>
  <si>
    <t>Mac Halves</t>
  </si>
  <si>
    <t>Pecan Halves</t>
  </si>
  <si>
    <t>Sundflower Oil</t>
  </si>
  <si>
    <t>Chocolate bits</t>
  </si>
  <si>
    <t>Cacao</t>
  </si>
  <si>
    <t xml:space="preserve">Total Cost </t>
  </si>
  <si>
    <t>Sunflower Oil</t>
  </si>
  <si>
    <t>markup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</si>
</sst>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wrapText="1"/>
    </xf>
    <xf numFmtId="2" fontId="0" fillId="0" borderId="5" xfId="0" applyNumberFormat="1" applyBorder="1"/>
    <xf numFmtId="0" fontId="0" fillId="0" borderId="12" xfId="0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2" fontId="0" fillId="0" borderId="12" xfId="0" applyNumberFormat="1" applyBorder="1"/>
    <xf numFmtId="0" fontId="0" fillId="0" borderId="0" xfId="0" applyAlignment="1">
      <alignment horizontal="left" wrapText="1"/>
    </xf>
    <xf numFmtId="2" fontId="0" fillId="0" borderId="0" xfId="0" applyNumberFormat="1" applyAlignment="1">
      <alignment vertical="center"/>
    </xf>
    <xf numFmtId="0" fontId="0" fillId="0" borderId="5" xfId="0" applyBorder="1" applyAlignment="1">
      <alignment wrapText="1"/>
    </xf>
    <xf numFmtId="9" fontId="0" fillId="0" borderId="5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9" fontId="0" fillId="0" borderId="7" xfId="0" applyNumberFormat="1" applyBorder="1"/>
    <xf numFmtId="2" fontId="0" fillId="0" borderId="7" xfId="0" applyNumberFormat="1" applyBorder="1"/>
    <xf numFmtId="2" fontId="0" fillId="0" borderId="20" xfId="0" applyNumberFormat="1" applyBorder="1"/>
    <xf numFmtId="9" fontId="0" fillId="0" borderId="5" xfId="1" applyFont="1" applyBorder="1"/>
    <xf numFmtId="164" fontId="0" fillId="0" borderId="0" xfId="0" applyNumberFormat="1"/>
    <xf numFmtId="165" fontId="0" fillId="0" borderId="0" xfId="0" applyNumberFormat="1"/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0" xfId="0" applyNumberFormat="1"/>
  </cellXfs>
  <cellStyles count="2">
    <cellStyle name="Normal" xfId="0" builtinId="0"/>
    <cellStyle name="Percent" xfId="1" builtinId="5"/>
  </cellStyles>
  <dxfs count="14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97AF62-C056-471D-8724-D3E3740E6680}" name="Table1" displayName="Table1" ref="A1:J33" totalsRowShown="0" headerRowDxfId="13" headerRowBorderDxfId="12" tableBorderDxfId="11" totalsRowBorderDxfId="10">
  <autoFilter ref="A1:J33" xr:uid="{D197AF62-C056-471D-8724-D3E3740E6680}"/>
  <tableColumns count="10">
    <tableColumn id="1" xr3:uid="{14DDF4AA-2FA6-4805-A606-09CFD5D47E62}" name="Column1" dataDxfId="9"/>
    <tableColumn id="10" xr3:uid="{C2BCD6B1-81F2-48F6-97C3-4EEF930D6976}" name="Column12" dataDxfId="8"/>
    <tableColumn id="2" xr3:uid="{8BD188D9-C9B9-4AE9-942F-17007C3814C4}" name="Column2" dataDxfId="7"/>
    <tableColumn id="3" xr3:uid="{C44CE22C-40AA-4D30-9311-385D93172F56}" name="Column3" dataDxfId="6"/>
    <tableColumn id="4" xr3:uid="{4B796719-60EE-4CB9-BDA6-294E720655C7}" name="Column4" dataDxfId="5"/>
    <tableColumn id="5" xr3:uid="{32FD9AB6-E3CC-487F-AB7B-3746E9A9B1F0}" name="Column5" dataDxfId="4">
      <calculatedColumnFormula>SUM((D2*0.3)+D2)</calculatedColumnFormula>
    </tableColumn>
    <tableColumn id="6" xr3:uid="{F0EEC9EC-4F00-47D3-B47D-0E83E2AE6D5C}" name="Column6" dataDxfId="3">
      <calculatedColumnFormula>SUM((F2*0.15)+F2)</calculatedColumnFormula>
    </tableColumn>
    <tableColumn id="9" xr3:uid="{FF659358-B966-4AFE-8EAE-C99D0D66652C}" name="Column62" dataDxfId="2"/>
    <tableColumn id="7" xr3:uid="{6E09D282-9D8F-418F-86F0-08EC5CEE96FC}" name="Column7" dataDxfId="1">
      <calculatedColumnFormula>SUM((D2*0.65)+D2)</calculatedColumnFormula>
    </tableColumn>
    <tableColumn id="8" xr3:uid="{C3B72FC3-122A-4B8B-808F-4FDE3405F1FF}" name="Column8" dataDxfId="0">
      <calculatedColumnFormula>SUM((I2*0.15)+I2)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9F36-36AB-4037-9EED-43E86C7F5E24}">
  <dimension ref="A1:J33"/>
  <sheetViews>
    <sheetView workbookViewId="0">
      <selection activeCell="H24" sqref="H24:H27"/>
    </sheetView>
  </sheetViews>
  <sheetFormatPr defaultRowHeight="15" x14ac:dyDescent="0.25"/>
  <cols>
    <col min="1" max="1" width="19.5703125" bestFit="1" customWidth="1"/>
    <col min="2" max="2" width="26" customWidth="1"/>
    <col min="3" max="3" width="19.5703125" customWidth="1"/>
    <col min="4" max="4" width="11" customWidth="1"/>
    <col min="5" max="5" width="16" bestFit="1" customWidth="1"/>
    <col min="6" max="6" width="17.85546875" bestFit="1" customWidth="1"/>
    <col min="7" max="7" width="18.28515625" bestFit="1" customWidth="1"/>
    <col min="8" max="8" width="18.28515625" customWidth="1"/>
    <col min="9" max="9" width="14.140625" bestFit="1" customWidth="1"/>
    <col min="10" max="10" width="13.85546875" bestFit="1" customWidth="1"/>
  </cols>
  <sheetData>
    <row r="1" spans="1:10" x14ac:dyDescent="0.25">
      <c r="A1" s="30" t="s">
        <v>162</v>
      </c>
      <c r="B1" s="30" t="s">
        <v>209</v>
      </c>
      <c r="C1" s="31" t="s">
        <v>163</v>
      </c>
      <c r="D1" s="31" t="s">
        <v>164</v>
      </c>
      <c r="E1" s="31" t="s">
        <v>165</v>
      </c>
      <c r="F1" s="31" t="s">
        <v>166</v>
      </c>
      <c r="G1" s="31" t="s">
        <v>167</v>
      </c>
      <c r="H1" s="31" t="s">
        <v>184</v>
      </c>
      <c r="I1" s="31" t="s">
        <v>168</v>
      </c>
      <c r="J1" s="32" t="s">
        <v>169</v>
      </c>
    </row>
    <row r="2" spans="1:10" x14ac:dyDescent="0.25">
      <c r="A2" s="29" t="s">
        <v>0</v>
      </c>
      <c r="B2" s="29" t="s">
        <v>210</v>
      </c>
      <c r="C2" s="8" t="s">
        <v>81</v>
      </c>
      <c r="D2" s="8" t="s">
        <v>2</v>
      </c>
      <c r="E2" s="8" t="s">
        <v>157</v>
      </c>
      <c r="F2" s="8" t="s">
        <v>158</v>
      </c>
      <c r="G2" s="8" t="s">
        <v>159</v>
      </c>
      <c r="H2" s="8" t="s">
        <v>185</v>
      </c>
      <c r="I2" s="8" t="s">
        <v>160</v>
      </c>
      <c r="J2" s="18" t="s">
        <v>161</v>
      </c>
    </row>
    <row r="3" spans="1:10" x14ac:dyDescent="0.25">
      <c r="A3" s="29"/>
      <c r="B3" s="29"/>
      <c r="C3" s="8"/>
      <c r="D3" s="8"/>
      <c r="E3" s="8"/>
      <c r="F3" s="8"/>
      <c r="G3" s="8"/>
      <c r="H3" s="8"/>
      <c r="I3" s="8"/>
      <c r="J3" s="18"/>
    </row>
    <row r="4" spans="1:10" x14ac:dyDescent="0.25">
      <c r="A4" s="29" t="s">
        <v>98</v>
      </c>
      <c r="B4" s="29" t="s">
        <v>214</v>
      </c>
      <c r="C4" s="8" t="s">
        <v>145</v>
      </c>
      <c r="D4" s="17">
        <f>'Caramel Macadamia'!B35</f>
        <v>208.12425266476106</v>
      </c>
      <c r="E4" s="28">
        <v>0.3</v>
      </c>
      <c r="F4" s="17">
        <f>SUM((D4*0.3)+D4)</f>
        <v>270.56152846418939</v>
      </c>
      <c r="G4" s="17">
        <v>12</v>
      </c>
      <c r="H4" s="37">
        <v>0.65</v>
      </c>
      <c r="I4" s="17">
        <f>SUM((D4*0.65)+D4)</f>
        <v>343.40501689685573</v>
      </c>
      <c r="J4" s="24">
        <f>SUM((I4*0.15)+I4)</f>
        <v>394.91576943138409</v>
      </c>
    </row>
    <row r="5" spans="1:10" x14ac:dyDescent="0.25">
      <c r="A5" s="29"/>
      <c r="B5" s="29" t="s">
        <v>215</v>
      </c>
      <c r="C5" s="8" t="s">
        <v>141</v>
      </c>
      <c r="D5" s="17">
        <f>'Caramel Macadamia'!C35</f>
        <v>105.31212633238053</v>
      </c>
      <c r="E5" s="28">
        <v>0.3</v>
      </c>
      <c r="F5" s="17">
        <f t="shared" ref="F5:F33" si="0">SUM((D5*0.3)+D5)</f>
        <v>136.9057642320947</v>
      </c>
      <c r="G5" s="17">
        <f t="shared" ref="G5:G33" si="1">SUM((F5*0.15)+F5)</f>
        <v>157.4416288669089</v>
      </c>
      <c r="H5" s="37">
        <v>0.65</v>
      </c>
      <c r="I5" s="17">
        <f t="shared" ref="I5:I33" si="2">SUM((D5*0.65)+D5)</f>
        <v>173.76500844842786</v>
      </c>
      <c r="J5" s="24">
        <f t="shared" ref="J5:J33" si="3">SUM((I5*0.15)+I5)</f>
        <v>199.82975971569203</v>
      </c>
    </row>
    <row r="6" spans="1:10" x14ac:dyDescent="0.25">
      <c r="A6" s="29"/>
      <c r="B6" s="29" t="s">
        <v>216</v>
      </c>
      <c r="C6" s="8" t="s">
        <v>142</v>
      </c>
      <c r="D6" s="17">
        <f>'Caramel Macadamia'!D35</f>
        <v>43.22485053295221</v>
      </c>
      <c r="E6" s="28">
        <v>0.3</v>
      </c>
      <c r="F6" s="17">
        <f t="shared" si="0"/>
        <v>56.192305692837877</v>
      </c>
      <c r="G6" s="17">
        <f t="shared" si="1"/>
        <v>64.621151546763556</v>
      </c>
      <c r="H6" s="37">
        <v>0.65</v>
      </c>
      <c r="I6" s="17">
        <f t="shared" si="2"/>
        <v>71.321003379371149</v>
      </c>
      <c r="J6" s="24">
        <f t="shared" si="3"/>
        <v>82.019153886276825</v>
      </c>
    </row>
    <row r="7" spans="1:10" x14ac:dyDescent="0.25">
      <c r="A7" s="29"/>
      <c r="B7" s="29" t="s">
        <v>217</v>
      </c>
      <c r="C7" s="8" t="s">
        <v>143</v>
      </c>
      <c r="D7" s="17">
        <f>'Caramel Macadamia'!E35</f>
        <v>22.362425266476105</v>
      </c>
      <c r="E7" s="28">
        <v>0.3</v>
      </c>
      <c r="F7" s="17">
        <f t="shared" si="0"/>
        <v>29.071152846418936</v>
      </c>
      <c r="G7" s="17">
        <f t="shared" si="1"/>
        <v>33.431825773381775</v>
      </c>
      <c r="H7" s="37">
        <v>0.65</v>
      </c>
      <c r="I7" s="17">
        <f t="shared" si="2"/>
        <v>36.898001689685572</v>
      </c>
      <c r="J7" s="24">
        <f t="shared" si="3"/>
        <v>42.432701943138404</v>
      </c>
    </row>
    <row r="8" spans="1:10" x14ac:dyDescent="0.25">
      <c r="A8" s="29"/>
      <c r="B8" s="29" t="s">
        <v>218</v>
      </c>
      <c r="C8" s="8" t="s">
        <v>144</v>
      </c>
      <c r="D8" s="17">
        <f>'Caramel Macadamia'!F35</f>
        <v>12.181212633238053</v>
      </c>
      <c r="E8" s="28">
        <v>0.3</v>
      </c>
      <c r="F8" s="17">
        <f t="shared" si="0"/>
        <v>15.835576423209467</v>
      </c>
      <c r="G8" s="17">
        <f t="shared" si="1"/>
        <v>18.210912886690888</v>
      </c>
      <c r="H8" s="37">
        <v>0.65</v>
      </c>
      <c r="I8" s="17">
        <f t="shared" si="2"/>
        <v>20.099000844842788</v>
      </c>
      <c r="J8" s="24">
        <f t="shared" si="3"/>
        <v>23.113850971569207</v>
      </c>
    </row>
    <row r="9" spans="1:10" x14ac:dyDescent="0.25">
      <c r="A9" s="29" t="s">
        <v>146</v>
      </c>
      <c r="B9" s="29" t="s">
        <v>219</v>
      </c>
      <c r="C9" s="8" t="s">
        <v>145</v>
      </c>
      <c r="D9" s="17">
        <f>'Salted Macadamia'!B34</f>
        <v>146.89728091968763</v>
      </c>
      <c r="E9" s="28">
        <v>0.3</v>
      </c>
      <c r="F9" s="17">
        <f t="shared" si="0"/>
        <v>190.96646519559391</v>
      </c>
      <c r="G9" s="17">
        <f t="shared" si="1"/>
        <v>219.61143497493299</v>
      </c>
      <c r="H9" s="37">
        <v>0.65</v>
      </c>
      <c r="I9" s="17">
        <f t="shared" si="2"/>
        <v>242.38051351748459</v>
      </c>
      <c r="J9" s="24">
        <f t="shared" si="3"/>
        <v>278.73759054510725</v>
      </c>
    </row>
    <row r="10" spans="1:10" x14ac:dyDescent="0.25">
      <c r="A10" s="29"/>
      <c r="B10" s="29" t="s">
        <v>220</v>
      </c>
      <c r="C10" s="8" t="s">
        <v>141</v>
      </c>
      <c r="D10" s="17">
        <f>'Salted Macadamia'!C34</f>
        <v>74.698640459843816</v>
      </c>
      <c r="E10" s="28">
        <v>0.3</v>
      </c>
      <c r="F10" s="17">
        <f t="shared" si="0"/>
        <v>97.108232597796956</v>
      </c>
      <c r="G10" s="17">
        <f t="shared" si="1"/>
        <v>111.6744674874665</v>
      </c>
      <c r="H10" s="37">
        <v>0.65</v>
      </c>
      <c r="I10" s="17">
        <f t="shared" si="2"/>
        <v>123.25275675874229</v>
      </c>
      <c r="J10" s="24">
        <f t="shared" si="3"/>
        <v>141.74067027255364</v>
      </c>
    </row>
    <row r="11" spans="1:10" x14ac:dyDescent="0.25">
      <c r="A11" s="29"/>
      <c r="B11" s="29" t="s">
        <v>221</v>
      </c>
      <c r="C11" s="8" t="s">
        <v>142</v>
      </c>
      <c r="D11" s="17">
        <f>'Salted Macadamia'!D34</f>
        <v>30.239456183937527</v>
      </c>
      <c r="E11" s="28">
        <v>0.3</v>
      </c>
      <c r="F11" s="17">
        <f t="shared" si="0"/>
        <v>39.311293039118787</v>
      </c>
      <c r="G11" s="17">
        <f t="shared" si="1"/>
        <v>45.207986994986605</v>
      </c>
      <c r="H11" s="37">
        <v>0.65</v>
      </c>
      <c r="I11" s="17">
        <f t="shared" si="2"/>
        <v>49.895102703496917</v>
      </c>
      <c r="J11" s="24">
        <f t="shared" si="3"/>
        <v>57.379368109021456</v>
      </c>
    </row>
    <row r="12" spans="1:10" x14ac:dyDescent="0.25">
      <c r="A12" s="29"/>
      <c r="B12" s="29" t="s">
        <v>222</v>
      </c>
      <c r="C12" s="8" t="s">
        <v>143</v>
      </c>
      <c r="D12" s="17">
        <f>'Salted Macadamia'!E34</f>
        <v>15.499728091968763</v>
      </c>
      <c r="E12" s="28">
        <v>0.3</v>
      </c>
      <c r="F12" s="17">
        <f t="shared" si="0"/>
        <v>20.14964651955939</v>
      </c>
      <c r="G12" s="17">
        <f t="shared" si="1"/>
        <v>23.1720934974933</v>
      </c>
      <c r="H12" s="37">
        <v>0.65</v>
      </c>
      <c r="I12" s="17">
        <f t="shared" si="2"/>
        <v>25.574551351748461</v>
      </c>
      <c r="J12" s="24">
        <f t="shared" si="3"/>
        <v>29.41073405451073</v>
      </c>
    </row>
    <row r="13" spans="1:10" x14ac:dyDescent="0.25">
      <c r="A13" s="29"/>
      <c r="B13" s="29" t="s">
        <v>223</v>
      </c>
      <c r="C13" s="8" t="s">
        <v>144</v>
      </c>
      <c r="D13" s="17">
        <f>'Salted Macadamia'!F34</f>
        <v>8.3798640459843803</v>
      </c>
      <c r="E13" s="28">
        <v>0.3</v>
      </c>
      <c r="F13" s="17">
        <f t="shared" si="0"/>
        <v>10.893823259779694</v>
      </c>
      <c r="G13" s="17">
        <f t="shared" si="1"/>
        <v>12.527896748746649</v>
      </c>
      <c r="H13" s="37">
        <v>0.65</v>
      </c>
      <c r="I13" s="17">
        <f t="shared" si="2"/>
        <v>13.826775675874227</v>
      </c>
      <c r="J13" s="24">
        <f t="shared" si="3"/>
        <v>15.900792027255362</v>
      </c>
    </row>
    <row r="14" spans="1:10" x14ac:dyDescent="0.25">
      <c r="A14" s="29" t="s">
        <v>153</v>
      </c>
      <c r="B14" s="29" t="s">
        <v>224</v>
      </c>
      <c r="C14" s="8" t="s">
        <v>142</v>
      </c>
      <c r="D14" s="17">
        <f>'Chocolate Coated Macadamias'!B37</f>
        <v>63.758941442043124</v>
      </c>
      <c r="E14" s="28">
        <v>0.3</v>
      </c>
      <c r="F14" s="17">
        <f t="shared" si="0"/>
        <v>82.886623874656067</v>
      </c>
      <c r="G14" s="17">
        <f t="shared" si="1"/>
        <v>95.319617455854484</v>
      </c>
      <c r="H14" s="37">
        <v>0.65</v>
      </c>
      <c r="I14" s="17">
        <f t="shared" si="2"/>
        <v>105.20225337937116</v>
      </c>
      <c r="J14" s="24">
        <f t="shared" si="3"/>
        <v>120.98259138627682</v>
      </c>
    </row>
    <row r="15" spans="1:10" x14ac:dyDescent="0.25">
      <c r="A15" s="29"/>
      <c r="B15" s="29" t="s">
        <v>225</v>
      </c>
      <c r="C15" s="8" t="s">
        <v>154</v>
      </c>
      <c r="D15" s="17">
        <f>'Chocolate Coated Macadamias'!C37</f>
        <v>30.94505011286833</v>
      </c>
      <c r="E15" s="28">
        <v>0.3</v>
      </c>
      <c r="F15" s="17">
        <f t="shared" si="0"/>
        <v>40.228565146728826</v>
      </c>
      <c r="G15" s="17">
        <f t="shared" si="1"/>
        <v>46.262849918738148</v>
      </c>
      <c r="H15" s="37">
        <v>0.65</v>
      </c>
      <c r="I15" s="17">
        <f t="shared" si="2"/>
        <v>51.05933268623275</v>
      </c>
      <c r="J15" s="24">
        <f t="shared" si="3"/>
        <v>58.718232589167663</v>
      </c>
    </row>
    <row r="16" spans="1:10" x14ac:dyDescent="0.25">
      <c r="A16" s="29" t="s">
        <v>147</v>
      </c>
      <c r="B16" s="29" t="s">
        <v>226</v>
      </c>
      <c r="C16" s="8" t="s">
        <v>145</v>
      </c>
      <c r="D16" s="17">
        <f>'Caramel Pecan'!B35</f>
        <v>319.41045454545457</v>
      </c>
      <c r="E16" s="28">
        <v>0.3</v>
      </c>
      <c r="F16" s="17">
        <f t="shared" si="0"/>
        <v>415.23359090909094</v>
      </c>
      <c r="G16" s="17">
        <f>SUM((F16*0.15)+F16)</f>
        <v>477.51862954545459</v>
      </c>
      <c r="H16" s="37">
        <v>0.65</v>
      </c>
      <c r="I16" s="17">
        <f t="shared" si="2"/>
        <v>527.02725000000009</v>
      </c>
      <c r="J16" s="24">
        <f t="shared" si="3"/>
        <v>606.08133750000013</v>
      </c>
    </row>
    <row r="17" spans="1:10" x14ac:dyDescent="0.25">
      <c r="A17" s="29"/>
      <c r="B17" s="29" t="s">
        <v>227</v>
      </c>
      <c r="C17" s="8" t="s">
        <v>141</v>
      </c>
      <c r="D17" s="17">
        <f>'Caramel Pecan'!C35</f>
        <v>160.95522727272729</v>
      </c>
      <c r="E17" s="28">
        <v>0.3</v>
      </c>
      <c r="F17" s="17">
        <f t="shared" si="0"/>
        <v>209.24179545454547</v>
      </c>
      <c r="G17" s="17">
        <f t="shared" si="1"/>
        <v>240.62806477272727</v>
      </c>
      <c r="H17" s="37">
        <v>0.65</v>
      </c>
      <c r="I17" s="17">
        <f t="shared" si="2"/>
        <v>265.57612500000005</v>
      </c>
      <c r="J17" s="24">
        <f t="shared" si="3"/>
        <v>305.41254375000005</v>
      </c>
    </row>
    <row r="18" spans="1:10" x14ac:dyDescent="0.25">
      <c r="A18" s="29"/>
      <c r="B18" s="29" t="s">
        <v>228</v>
      </c>
      <c r="C18" s="8" t="s">
        <v>142</v>
      </c>
      <c r="D18" s="17">
        <f>'Caramel Pecan'!D35</f>
        <v>65.482090909090914</v>
      </c>
      <c r="E18" s="28">
        <v>0.3</v>
      </c>
      <c r="F18" s="17">
        <f t="shared" si="0"/>
        <v>85.126718181818191</v>
      </c>
      <c r="G18" s="17">
        <f t="shared" si="1"/>
        <v>97.895725909090913</v>
      </c>
      <c r="H18" s="37">
        <v>0.65</v>
      </c>
      <c r="I18" s="17">
        <f t="shared" si="2"/>
        <v>108.04545000000002</v>
      </c>
      <c r="J18" s="24">
        <f t="shared" si="3"/>
        <v>124.25226750000002</v>
      </c>
    </row>
    <row r="19" spans="1:10" x14ac:dyDescent="0.25">
      <c r="A19" s="29"/>
      <c r="B19" s="29" t="s">
        <v>229</v>
      </c>
      <c r="C19" s="8" t="s">
        <v>143</v>
      </c>
      <c r="D19" s="17">
        <f>'Caramel Pecan'!E35</f>
        <v>33.491045454545457</v>
      </c>
      <c r="E19" s="28">
        <v>0.3</v>
      </c>
      <c r="F19" s="17">
        <f t="shared" si="0"/>
        <v>43.538359090909097</v>
      </c>
      <c r="G19" s="17">
        <f t="shared" si="1"/>
        <v>50.06911295454546</v>
      </c>
      <c r="H19" s="37">
        <v>0.65</v>
      </c>
      <c r="I19" s="17">
        <f t="shared" si="2"/>
        <v>55.260225000000005</v>
      </c>
      <c r="J19" s="24">
        <f t="shared" si="3"/>
        <v>63.549258750000007</v>
      </c>
    </row>
    <row r="20" spans="1:10" x14ac:dyDescent="0.25">
      <c r="A20" s="29"/>
      <c r="B20" s="29" t="s">
        <v>230</v>
      </c>
      <c r="C20" s="8" t="s">
        <v>144</v>
      </c>
      <c r="D20" s="17">
        <f>'Caramel Pecan'!F35</f>
        <v>17.745522727272729</v>
      </c>
      <c r="E20" s="28">
        <v>0.3</v>
      </c>
      <c r="F20" s="17">
        <f t="shared" si="0"/>
        <v>23.069179545454546</v>
      </c>
      <c r="G20" s="17">
        <f t="shared" si="1"/>
        <v>26.529556477272727</v>
      </c>
      <c r="H20" s="37">
        <v>0.65</v>
      </c>
      <c r="I20" s="17">
        <f t="shared" si="2"/>
        <v>29.280112500000001</v>
      </c>
      <c r="J20" s="24">
        <f t="shared" si="3"/>
        <v>33.672129375000004</v>
      </c>
    </row>
    <row r="21" spans="1:10" x14ac:dyDescent="0.25">
      <c r="A21" s="29" t="s">
        <v>148</v>
      </c>
      <c r="B21" s="29" t="s">
        <v>231</v>
      </c>
      <c r="C21" s="8" t="s">
        <v>149</v>
      </c>
      <c r="D21" s="17">
        <f>'Pecan Nut Pies '!$B$42</f>
        <v>83.128507636363636</v>
      </c>
      <c r="E21" s="28">
        <v>0.3</v>
      </c>
      <c r="F21" s="17">
        <f t="shared" si="0"/>
        <v>108.06705992727272</v>
      </c>
      <c r="G21" s="17">
        <f t="shared" si="1"/>
        <v>124.27711891636363</v>
      </c>
      <c r="H21" s="37">
        <v>0.65</v>
      </c>
      <c r="I21" s="17">
        <f t="shared" si="2"/>
        <v>137.16203760000002</v>
      </c>
      <c r="J21" s="24">
        <f t="shared" si="3"/>
        <v>157.73634324000002</v>
      </c>
    </row>
    <row r="22" spans="1:10" x14ac:dyDescent="0.25">
      <c r="A22" s="29" t="s">
        <v>211</v>
      </c>
      <c r="B22" s="29" t="s">
        <v>232</v>
      </c>
      <c r="C22" s="8" t="s">
        <v>212</v>
      </c>
      <c r="D22" s="17">
        <f>'Pecan Nut Pies '!G42</f>
        <v>18.25522094545455</v>
      </c>
      <c r="E22" s="28">
        <v>0.3</v>
      </c>
      <c r="F22" s="17">
        <f t="shared" ref="F22" si="4">SUM((D22*0.3)+D22)</f>
        <v>23.731787229090916</v>
      </c>
      <c r="G22" s="17">
        <f t="shared" ref="G22" si="5">SUM((F22*0.15)+F22)</f>
        <v>27.291555313454552</v>
      </c>
      <c r="H22" s="37">
        <v>0.65</v>
      </c>
      <c r="I22" s="17">
        <f t="shared" ref="I22" si="6">SUM((D22*0.65)+D22)</f>
        <v>30.121114560000009</v>
      </c>
      <c r="J22" s="24">
        <f t="shared" ref="J22" si="7">SUM((I22*0.15)+I22)</f>
        <v>34.639281744000009</v>
      </c>
    </row>
    <row r="23" spans="1:10" x14ac:dyDescent="0.25">
      <c r="A23" s="29" t="s">
        <v>239</v>
      </c>
      <c r="B23" s="29"/>
      <c r="C23" s="8" t="s">
        <v>240</v>
      </c>
      <c r="D23" s="17">
        <f>'Pecan Nut Pies '!L42</f>
        <v>7.3719900658292339</v>
      </c>
      <c r="E23" s="28">
        <v>0.3</v>
      </c>
      <c r="F23" s="17">
        <f>SUM((D23*0.3)+D23)</f>
        <v>9.583587085578003</v>
      </c>
      <c r="G23" s="17">
        <f>SUM((F23*0.15)+F23)</f>
        <v>11.021125148414704</v>
      </c>
      <c r="H23" s="37">
        <v>0.65</v>
      </c>
      <c r="I23" s="17">
        <f>SUM((D23*0.65)+D23)</f>
        <v>12.163783608618235</v>
      </c>
      <c r="J23" s="24">
        <f>SUM((I23*0.15)+I23)</f>
        <v>13.988351149910971</v>
      </c>
    </row>
    <row r="24" spans="1:10" x14ac:dyDescent="0.25">
      <c r="A24" s="29"/>
      <c r="B24" s="29"/>
      <c r="C24" s="8" t="s">
        <v>213</v>
      </c>
      <c r="D24" s="17">
        <f>'Pecan Nut Pies '!M42</f>
        <v>30.878304031339038</v>
      </c>
      <c r="E24" s="28">
        <v>0.3</v>
      </c>
      <c r="F24" s="17">
        <f t="shared" si="0"/>
        <v>40.141795240740748</v>
      </c>
      <c r="G24" s="17">
        <f t="shared" si="1"/>
        <v>46.163064526851862</v>
      </c>
      <c r="H24" s="37">
        <v>0.65</v>
      </c>
      <c r="I24" s="17">
        <f t="shared" si="2"/>
        <v>50.949201651709416</v>
      </c>
      <c r="J24" s="24">
        <f t="shared" si="3"/>
        <v>58.59158189946583</v>
      </c>
    </row>
    <row r="25" spans="1:10" x14ac:dyDescent="0.25">
      <c r="A25" s="29" t="s">
        <v>260</v>
      </c>
      <c r="B25" s="29"/>
      <c r="C25" s="8" t="s">
        <v>263</v>
      </c>
      <c r="D25" s="17">
        <f>'Pecan Nut Pies '!C42</f>
        <v>90.723507636363635</v>
      </c>
      <c r="E25" s="28">
        <v>0.3</v>
      </c>
      <c r="F25" s="17">
        <f>SUM((D25*0.3)+D25)</f>
        <v>117.94055992727273</v>
      </c>
      <c r="G25" s="17">
        <f>SUM((F25*0.15)+F25)</f>
        <v>135.63164391636363</v>
      </c>
      <c r="H25" s="37">
        <v>0.65</v>
      </c>
      <c r="I25" s="17">
        <f>SUM((D25*0.65)+D25)</f>
        <v>149.69378760000001</v>
      </c>
      <c r="J25" s="24">
        <f>SUM((I25*0.15)+I25)</f>
        <v>172.14785574000001</v>
      </c>
    </row>
    <row r="26" spans="1:10" x14ac:dyDescent="0.25">
      <c r="A26" s="29" t="s">
        <v>262</v>
      </c>
      <c r="B26" s="29"/>
      <c r="C26" s="8" t="s">
        <v>212</v>
      </c>
      <c r="D26" s="17">
        <f>'Pecan Nut Pies '!H42</f>
        <v>20.786887612121216</v>
      </c>
      <c r="E26" s="28">
        <v>0.3</v>
      </c>
      <c r="F26" s="17">
        <f>SUM((D26*0.3)+D26)</f>
        <v>27.022953895757581</v>
      </c>
      <c r="G26" s="17">
        <f>SUM((F26*0.15)+F26)</f>
        <v>31.076396980121217</v>
      </c>
      <c r="H26" s="37">
        <v>0.65</v>
      </c>
      <c r="I26" s="17">
        <f>SUM((D26*0.65)+D26)</f>
        <v>34.29836456000001</v>
      </c>
      <c r="J26" s="24">
        <f>SUM((I26*0.15)+I26)</f>
        <v>39.443119244000009</v>
      </c>
    </row>
    <row r="27" spans="1:10" x14ac:dyDescent="0.25">
      <c r="A27" s="29" t="s">
        <v>261</v>
      </c>
      <c r="B27" s="29"/>
      <c r="C27" s="8" t="s">
        <v>150</v>
      </c>
      <c r="D27" s="17">
        <f>'Pecan Nut Pies '!N42</f>
        <v>8.0478233991625672</v>
      </c>
      <c r="E27" s="28">
        <v>0.3</v>
      </c>
      <c r="F27" s="17">
        <f>SUM((D27*0.3)+D27)</f>
        <v>10.462170418911338</v>
      </c>
      <c r="G27" s="17">
        <f>SUM((F27*0.15)+F27)</f>
        <v>12.031495981748039</v>
      </c>
      <c r="H27" s="37">
        <v>0.65</v>
      </c>
      <c r="I27" s="17">
        <f>SUM((D27*0.65)+D27)</f>
        <v>13.278908608618236</v>
      </c>
      <c r="J27" s="24">
        <f>SUM((I27*0.15)+I27)</f>
        <v>15.270744899910971</v>
      </c>
    </row>
    <row r="28" spans="1:10" x14ac:dyDescent="0.25">
      <c r="A28" s="29" t="s">
        <v>151</v>
      </c>
      <c r="B28" s="29" t="s">
        <v>236</v>
      </c>
      <c r="C28" s="8" t="s">
        <v>149</v>
      </c>
      <c r="D28" s="17">
        <f>Nuchi!B32</f>
        <v>33.737369759129763</v>
      </c>
      <c r="E28" s="28">
        <v>0.3</v>
      </c>
      <c r="F28" s="17">
        <f t="shared" si="0"/>
        <v>43.858580686868692</v>
      </c>
      <c r="G28" s="17">
        <f t="shared" si="1"/>
        <v>50.437367789898992</v>
      </c>
      <c r="H28" s="37">
        <v>0.65</v>
      </c>
      <c r="I28" s="17">
        <f t="shared" si="2"/>
        <v>55.666660102564109</v>
      </c>
      <c r="J28" s="24">
        <f t="shared" si="3"/>
        <v>64.01665911794872</v>
      </c>
    </row>
    <row r="29" spans="1:10" x14ac:dyDescent="0.25">
      <c r="A29" s="29"/>
      <c r="B29" s="29" t="s">
        <v>237</v>
      </c>
      <c r="C29" s="8" t="s">
        <v>150</v>
      </c>
      <c r="D29" s="17">
        <f>Nuchi!C32</f>
        <v>16.656066784770786</v>
      </c>
      <c r="E29" s="28">
        <v>0.3</v>
      </c>
      <c r="F29" s="17">
        <f t="shared" si="0"/>
        <v>21.652886820202021</v>
      </c>
      <c r="G29" s="17">
        <f t="shared" si="1"/>
        <v>24.900819843232323</v>
      </c>
      <c r="H29" s="37">
        <v>0.65</v>
      </c>
      <c r="I29" s="17">
        <f t="shared" si="2"/>
        <v>27.4825101948718</v>
      </c>
      <c r="J29" s="24">
        <f t="shared" si="3"/>
        <v>31.60488672410257</v>
      </c>
    </row>
    <row r="30" spans="1:10" x14ac:dyDescent="0.25">
      <c r="A30" s="29"/>
      <c r="B30" s="29" t="s">
        <v>235</v>
      </c>
      <c r="C30" s="8" t="s">
        <v>152</v>
      </c>
      <c r="D30" s="17">
        <f>Nuchi!D32</f>
        <v>3.4959683808716537</v>
      </c>
      <c r="E30" s="28">
        <v>0.3</v>
      </c>
      <c r="F30" s="17">
        <f t="shared" si="0"/>
        <v>4.5447588951331497</v>
      </c>
      <c r="G30" s="17">
        <f t="shared" si="1"/>
        <v>5.2264727294031221</v>
      </c>
      <c r="H30" s="37">
        <v>0.65</v>
      </c>
      <c r="I30" s="17">
        <f t="shared" si="2"/>
        <v>5.7683478284382286</v>
      </c>
      <c r="J30" s="24">
        <f t="shared" si="3"/>
        <v>6.6336000027039628</v>
      </c>
    </row>
    <row r="31" spans="1:10" x14ac:dyDescent="0.25">
      <c r="A31" s="29" t="s">
        <v>155</v>
      </c>
      <c r="B31" s="29" t="s">
        <v>238</v>
      </c>
      <c r="C31" s="8" t="s">
        <v>152</v>
      </c>
      <c r="D31" s="17">
        <f>'Choco Bombs'!$B$30</f>
        <v>4.8766424242424238</v>
      </c>
      <c r="E31" s="28">
        <v>0.3</v>
      </c>
      <c r="F31" s="17">
        <f t="shared" si="0"/>
        <v>6.339635151515151</v>
      </c>
      <c r="G31" s="17">
        <f t="shared" si="1"/>
        <v>7.2905804242424237</v>
      </c>
      <c r="H31" s="37">
        <v>0.65</v>
      </c>
      <c r="I31" s="17">
        <f t="shared" si="2"/>
        <v>8.0464599999999997</v>
      </c>
      <c r="J31" s="24">
        <f t="shared" si="3"/>
        <v>9.2534290000000006</v>
      </c>
    </row>
    <row r="32" spans="1:10" x14ac:dyDescent="0.25">
      <c r="A32" s="29" t="s">
        <v>156</v>
      </c>
      <c r="B32" s="29" t="s">
        <v>233</v>
      </c>
      <c r="C32" s="8" t="s">
        <v>248</v>
      </c>
      <c r="D32" s="17">
        <f>Macigiano!B35</f>
        <v>49.727153153634497</v>
      </c>
      <c r="E32" s="28">
        <v>0.3</v>
      </c>
      <c r="F32" s="17">
        <f t="shared" si="0"/>
        <v>64.645299099724838</v>
      </c>
      <c r="G32" s="17">
        <f t="shared" si="1"/>
        <v>74.342093964683556</v>
      </c>
      <c r="H32" s="37">
        <v>0.65</v>
      </c>
      <c r="I32" s="17">
        <f t="shared" si="2"/>
        <v>82.049802703496923</v>
      </c>
      <c r="J32" s="24">
        <f t="shared" si="3"/>
        <v>94.357273109021463</v>
      </c>
    </row>
    <row r="33" spans="1:10" x14ac:dyDescent="0.25">
      <c r="A33" s="33"/>
      <c r="B33" s="29" t="s">
        <v>234</v>
      </c>
      <c r="C33" s="11" t="s">
        <v>174</v>
      </c>
      <c r="D33" s="35">
        <f>Macigiano!C35</f>
        <v>18.264967117249483</v>
      </c>
      <c r="E33" s="34">
        <v>0.3</v>
      </c>
      <c r="F33" s="35">
        <f t="shared" si="0"/>
        <v>23.744457252424329</v>
      </c>
      <c r="G33" s="35">
        <f t="shared" si="1"/>
        <v>27.306125840287979</v>
      </c>
      <c r="H33" s="37">
        <v>0.65</v>
      </c>
      <c r="I33" s="35">
        <f t="shared" si="2"/>
        <v>30.137195743461646</v>
      </c>
      <c r="J33" s="36">
        <f t="shared" si="3"/>
        <v>34.657775104980892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994C-1928-4856-A18D-ABAE1955E8AF}">
  <dimension ref="A1:N70"/>
  <sheetViews>
    <sheetView topLeftCell="A36" workbookViewId="0">
      <selection activeCell="N45" sqref="N45"/>
    </sheetView>
  </sheetViews>
  <sheetFormatPr defaultRowHeight="15" x14ac:dyDescent="0.25"/>
  <cols>
    <col min="1" max="1" width="21.7109375" bestFit="1" customWidth="1"/>
    <col min="2" max="2" width="15.7109375" bestFit="1" customWidth="1"/>
    <col min="3" max="3" width="17.28515625" customWidth="1"/>
    <col min="4" max="4" width="18.42578125" bestFit="1" customWidth="1"/>
    <col min="5" max="5" width="17.28515625" bestFit="1" customWidth="1"/>
    <col min="6" max="6" width="21.7109375" bestFit="1" customWidth="1"/>
    <col min="7" max="7" width="14.140625" bestFit="1" customWidth="1"/>
    <col min="8" max="8" width="14.5703125" bestFit="1" customWidth="1"/>
    <col min="9" max="9" width="16.85546875" bestFit="1" customWidth="1"/>
    <col min="10" max="10" width="27.5703125" bestFit="1" customWidth="1"/>
    <col min="11" max="11" width="28.42578125" customWidth="1"/>
    <col min="12" max="12" width="20.28515625" customWidth="1"/>
    <col min="13" max="13" width="12.85546875" bestFit="1" customWidth="1"/>
    <col min="14" max="14" width="16.85546875" bestFit="1" customWidth="1"/>
  </cols>
  <sheetData>
    <row r="1" spans="1:14" x14ac:dyDescent="0.25">
      <c r="A1" s="42" t="s">
        <v>1</v>
      </c>
      <c r="B1" s="42"/>
      <c r="C1" s="42"/>
    </row>
    <row r="2" spans="1:14" x14ac:dyDescent="0.25">
      <c r="A2" s="8" t="s">
        <v>43</v>
      </c>
      <c r="B2" s="8" t="s">
        <v>40</v>
      </c>
      <c r="C2" s="8" t="s">
        <v>42</v>
      </c>
    </row>
    <row r="3" spans="1:14" x14ac:dyDescent="0.25">
      <c r="A3" s="17">
        <f>Overheads!$D$32</f>
        <v>236.36363636363637</v>
      </c>
      <c r="B3" s="8">
        <v>410</v>
      </c>
      <c r="C3" s="17">
        <f>SUM(A3:B3)</f>
        <v>646.36363636363637</v>
      </c>
    </row>
    <row r="7" spans="1:14" ht="45" x14ac:dyDescent="0.25">
      <c r="A7" s="8"/>
      <c r="B7" s="23" t="s">
        <v>113</v>
      </c>
      <c r="C7" s="8"/>
      <c r="D7" s="8"/>
      <c r="F7" s="8"/>
      <c r="G7" s="23" t="s">
        <v>203</v>
      </c>
      <c r="H7" s="8"/>
      <c r="I7" s="8"/>
      <c r="K7" s="8"/>
      <c r="L7" s="8" t="s">
        <v>245</v>
      </c>
      <c r="M7" s="8"/>
      <c r="N7" s="8">
        <f>L13/15</f>
        <v>202</v>
      </c>
    </row>
    <row r="8" spans="1:14" x14ac:dyDescent="0.25">
      <c r="A8" s="8" t="s">
        <v>80</v>
      </c>
      <c r="B8" s="18" t="s">
        <v>81</v>
      </c>
      <c r="C8" s="18" t="s">
        <v>82</v>
      </c>
      <c r="D8" s="8" t="s">
        <v>86</v>
      </c>
      <c r="F8" s="8" t="s">
        <v>80</v>
      </c>
      <c r="G8" s="18" t="s">
        <v>81</v>
      </c>
      <c r="H8" s="18" t="s">
        <v>82</v>
      </c>
      <c r="I8" s="8" t="s">
        <v>94</v>
      </c>
      <c r="K8" s="8" t="s">
        <v>80</v>
      </c>
      <c r="L8" s="8" t="s">
        <v>81</v>
      </c>
      <c r="M8" s="8" t="s">
        <v>82</v>
      </c>
      <c r="N8" s="8" t="s">
        <v>94</v>
      </c>
    </row>
    <row r="9" spans="1:14" x14ac:dyDescent="0.25">
      <c r="A9" s="8" t="s">
        <v>44</v>
      </c>
      <c r="B9" s="18">
        <v>1000</v>
      </c>
      <c r="C9" s="18">
        <f>$D$54*B9</f>
        <v>21.48</v>
      </c>
      <c r="D9" s="8">
        <f>SUM(C9/8)</f>
        <v>2.6850000000000001</v>
      </c>
      <c r="F9" s="8" t="s">
        <v>44</v>
      </c>
      <c r="G9" s="18">
        <v>1000</v>
      </c>
      <c r="H9" s="18">
        <f>$D$54*G9</f>
        <v>21.48</v>
      </c>
      <c r="I9" s="17">
        <f>SUM(H9/55)</f>
        <v>0.39054545454545453</v>
      </c>
      <c r="K9" s="8" t="s">
        <v>44</v>
      </c>
      <c r="L9" s="8">
        <v>1000</v>
      </c>
      <c r="M9" s="8">
        <f>$D$54*L9</f>
        <v>21.48</v>
      </c>
      <c r="N9" s="17">
        <f>SUM(M9/$N$7)</f>
        <v>0.10633663366336633</v>
      </c>
    </row>
    <row r="10" spans="1:14" x14ac:dyDescent="0.25">
      <c r="A10" s="8" t="s">
        <v>45</v>
      </c>
      <c r="B10" s="18">
        <v>800</v>
      </c>
      <c r="C10" s="18">
        <f>B10*$D$57</f>
        <v>35.120000000000005</v>
      </c>
      <c r="D10" s="8">
        <f t="shared" ref="D10:D11" si="0">SUM(C10/8)</f>
        <v>4.3900000000000006</v>
      </c>
      <c r="F10" s="8" t="s">
        <v>45</v>
      </c>
      <c r="G10" s="18">
        <v>800</v>
      </c>
      <c r="H10" s="18">
        <f>G10*$D$57</f>
        <v>35.120000000000005</v>
      </c>
      <c r="I10" s="17">
        <f t="shared" ref="I10:I20" si="1">SUM(H10/55)</f>
        <v>0.63854545454545464</v>
      </c>
      <c r="K10" s="8" t="s">
        <v>45</v>
      </c>
      <c r="L10" s="8">
        <v>800</v>
      </c>
      <c r="M10" s="8">
        <f>L10*$D$57</f>
        <v>35.120000000000005</v>
      </c>
      <c r="N10" s="17">
        <f t="shared" ref="N10:N12" si="2">SUM(M10/$N$7)</f>
        <v>0.17386138613861388</v>
      </c>
    </row>
    <row r="11" spans="1:14" x14ac:dyDescent="0.25">
      <c r="A11" s="8" t="s">
        <v>46</v>
      </c>
      <c r="B11" s="18">
        <v>30</v>
      </c>
      <c r="C11" s="18">
        <f>B11*$D$58</f>
        <v>3.5100000000000002</v>
      </c>
      <c r="D11" s="8">
        <f t="shared" si="0"/>
        <v>0.43875000000000003</v>
      </c>
      <c r="F11" s="8" t="s">
        <v>46</v>
      </c>
      <c r="G11" s="18">
        <v>30</v>
      </c>
      <c r="H11" s="18">
        <f>G11*$D$58</f>
        <v>3.5100000000000002</v>
      </c>
      <c r="I11" s="17">
        <f t="shared" si="1"/>
        <v>6.3818181818181816E-2</v>
      </c>
      <c r="K11" s="8" t="s">
        <v>46</v>
      </c>
      <c r="L11" s="8">
        <v>30</v>
      </c>
      <c r="M11" s="8">
        <f>L11*$D$58</f>
        <v>3.5100000000000002</v>
      </c>
      <c r="N11" s="17">
        <f t="shared" si="2"/>
        <v>1.7376237623762378E-2</v>
      </c>
    </row>
    <row r="12" spans="1:14" x14ac:dyDescent="0.25">
      <c r="A12" s="8" t="s">
        <v>50</v>
      </c>
      <c r="B12" s="18">
        <v>1200</v>
      </c>
      <c r="C12" s="18">
        <f>B12*$D$61</f>
        <v>288</v>
      </c>
      <c r="D12" s="8">
        <f>SUM(C12/8)</f>
        <v>36</v>
      </c>
      <c r="F12" s="8" t="s">
        <v>50</v>
      </c>
      <c r="G12" s="18">
        <v>1200</v>
      </c>
      <c r="H12" s="18">
        <f>G12*$D$61</f>
        <v>288</v>
      </c>
      <c r="I12" s="17">
        <f t="shared" si="1"/>
        <v>5.2363636363636363</v>
      </c>
      <c r="K12" s="8" t="s">
        <v>50</v>
      </c>
      <c r="L12" s="8">
        <v>1200</v>
      </c>
      <c r="M12" s="8">
        <f>L12*$D$61</f>
        <v>288</v>
      </c>
      <c r="N12" s="17">
        <f t="shared" si="2"/>
        <v>1.4257425742574257</v>
      </c>
    </row>
    <row r="13" spans="1:14" x14ac:dyDescent="0.25">
      <c r="A13" s="8" t="s">
        <v>17</v>
      </c>
      <c r="B13" s="18">
        <f>SUM(B9:B12)</f>
        <v>3030</v>
      </c>
      <c r="C13" s="18">
        <f>SUM(C9:C12)</f>
        <v>348.11</v>
      </c>
      <c r="D13" s="8">
        <f>SUM(D9:D12)</f>
        <v>43.513750000000002</v>
      </c>
      <c r="F13" s="8" t="s">
        <v>17</v>
      </c>
      <c r="G13" s="18">
        <f>SUM(G9:G12)</f>
        <v>3030</v>
      </c>
      <c r="H13" s="18">
        <f>SUM(H9:H12)</f>
        <v>348.11</v>
      </c>
      <c r="I13" s="17">
        <f t="shared" si="1"/>
        <v>6.3292727272727278</v>
      </c>
      <c r="K13" s="8" t="s">
        <v>17</v>
      </c>
      <c r="L13" s="8">
        <f>SUM(L9:L12)</f>
        <v>3030</v>
      </c>
      <c r="M13" s="8">
        <f>SUM(M9:M12)</f>
        <v>348.11</v>
      </c>
      <c r="N13" s="17">
        <f>SUM(N9:N12)</f>
        <v>1.7233168316831682</v>
      </c>
    </row>
    <row r="14" spans="1:14" x14ac:dyDescent="0.25">
      <c r="C14" s="18"/>
      <c r="D14" s="8"/>
      <c r="H14" s="18"/>
      <c r="I14" s="17"/>
      <c r="K14" s="8"/>
      <c r="L14" s="8"/>
      <c r="M14" s="8"/>
      <c r="N14" s="17"/>
    </row>
    <row r="15" spans="1:14" ht="45" x14ac:dyDescent="0.25">
      <c r="A15" s="8"/>
      <c r="B15" s="23" t="s">
        <v>113</v>
      </c>
      <c r="C15" s="18"/>
      <c r="D15" s="8"/>
      <c r="F15" s="8"/>
      <c r="G15" s="23" t="s">
        <v>204</v>
      </c>
      <c r="H15" s="18"/>
      <c r="I15" s="17"/>
      <c r="K15" s="8"/>
      <c r="L15" s="8" t="s">
        <v>205</v>
      </c>
      <c r="M15" s="8"/>
      <c r="N15" s="17">
        <f>L22/35</f>
        <v>91.828571428571422</v>
      </c>
    </row>
    <row r="16" spans="1:14" x14ac:dyDescent="0.25">
      <c r="A16" s="8" t="s">
        <v>80</v>
      </c>
      <c r="B16" s="18" t="s">
        <v>81</v>
      </c>
      <c r="C16" s="18" t="s">
        <v>82</v>
      </c>
      <c r="D16" s="8" t="s">
        <v>86</v>
      </c>
      <c r="F16" s="8" t="s">
        <v>80</v>
      </c>
      <c r="G16" s="18" t="s">
        <v>81</v>
      </c>
      <c r="H16" s="18" t="s">
        <v>82</v>
      </c>
      <c r="I16" s="17" t="s">
        <v>86</v>
      </c>
      <c r="K16" s="8" t="s">
        <v>80</v>
      </c>
      <c r="L16" s="8" t="s">
        <v>81</v>
      </c>
      <c r="M16" s="8" t="s">
        <v>82</v>
      </c>
      <c r="N16" s="17" t="s">
        <v>86</v>
      </c>
    </row>
    <row r="17" spans="1:14" x14ac:dyDescent="0.25">
      <c r="A17" s="8" t="s">
        <v>47</v>
      </c>
      <c r="B17" s="18">
        <v>1560</v>
      </c>
      <c r="C17" s="18">
        <f>B17*$D$55</f>
        <v>20.965152</v>
      </c>
      <c r="D17" s="8">
        <f>SUM(C17/8)</f>
        <v>2.620644</v>
      </c>
      <c r="F17" s="8" t="s">
        <v>47</v>
      </c>
      <c r="G17" s="18">
        <v>1560</v>
      </c>
      <c r="H17" s="18">
        <f>G17*$D$55</f>
        <v>20.965152</v>
      </c>
      <c r="I17" s="17">
        <f t="shared" si="1"/>
        <v>0.38118458181818182</v>
      </c>
      <c r="K17" s="8" t="s">
        <v>47</v>
      </c>
      <c r="L17" s="8">
        <v>1560</v>
      </c>
      <c r="M17" s="8">
        <f>L17*$D$55</f>
        <v>20.965152</v>
      </c>
      <c r="N17" s="17">
        <f>SUM(M17/$N$15)</f>
        <v>0.22830750466708152</v>
      </c>
    </row>
    <row r="18" spans="1:14" x14ac:dyDescent="0.25">
      <c r="A18" s="8" t="s">
        <v>44</v>
      </c>
      <c r="B18" s="18">
        <v>650</v>
      </c>
      <c r="C18" s="18">
        <f>$D$54*B18</f>
        <v>13.962</v>
      </c>
      <c r="D18" s="8">
        <f t="shared" ref="D18:D20" si="3">SUM(C18/8)</f>
        <v>1.74525</v>
      </c>
      <c r="F18" s="8" t="s">
        <v>44</v>
      </c>
      <c r="G18" s="18">
        <v>650</v>
      </c>
      <c r="H18" s="18">
        <f>$D$54*G18</f>
        <v>13.962</v>
      </c>
      <c r="I18" s="17">
        <f t="shared" si="1"/>
        <v>0.25385454545454544</v>
      </c>
      <c r="K18" s="8" t="s">
        <v>44</v>
      </c>
      <c r="L18" s="8">
        <v>650</v>
      </c>
      <c r="M18" s="8">
        <f>$D$54*L18</f>
        <v>13.962</v>
      </c>
      <c r="N18" s="17">
        <f t="shared" ref="N18:N20" si="4">SUM(M18/$N$15)</f>
        <v>0.15204418170504044</v>
      </c>
    </row>
    <row r="19" spans="1:14" x14ac:dyDescent="0.25">
      <c r="A19" s="8" t="s">
        <v>48</v>
      </c>
      <c r="B19" s="18">
        <v>1000</v>
      </c>
      <c r="C19" s="18">
        <f>B19*$D$56</f>
        <v>30</v>
      </c>
      <c r="D19" s="8">
        <f t="shared" si="3"/>
        <v>3.75</v>
      </c>
      <c r="F19" s="8" t="s">
        <v>48</v>
      </c>
      <c r="G19" s="18">
        <v>1000</v>
      </c>
      <c r="H19" s="18">
        <f>G19*$D$56</f>
        <v>30</v>
      </c>
      <c r="I19" s="17">
        <f t="shared" si="1"/>
        <v>0.54545454545454541</v>
      </c>
      <c r="K19" s="8" t="s">
        <v>48</v>
      </c>
      <c r="L19" s="8">
        <v>1000</v>
      </c>
      <c r="M19" s="8">
        <f>L19*$D$56</f>
        <v>30</v>
      </c>
      <c r="N19" s="17">
        <f t="shared" si="4"/>
        <v>0.32669570628500311</v>
      </c>
    </row>
    <row r="20" spans="1:14" x14ac:dyDescent="0.25">
      <c r="A20" s="8" t="s">
        <v>49</v>
      </c>
      <c r="B20" s="18">
        <v>4</v>
      </c>
      <c r="C20" s="18">
        <f>B20*$D$62</f>
        <v>10</v>
      </c>
      <c r="D20" s="8">
        <f t="shared" si="3"/>
        <v>1.25</v>
      </c>
      <c r="F20" s="8" t="s">
        <v>49</v>
      </c>
      <c r="G20" s="18">
        <v>4</v>
      </c>
      <c r="H20" s="18">
        <f>G20*$D$62</f>
        <v>10</v>
      </c>
      <c r="I20" s="17">
        <f t="shared" si="1"/>
        <v>0.18181818181818182</v>
      </c>
      <c r="K20" s="8" t="s">
        <v>49</v>
      </c>
      <c r="L20" s="8">
        <v>4</v>
      </c>
      <c r="M20" s="8">
        <f>L20*$D$62</f>
        <v>10</v>
      </c>
      <c r="N20" s="17">
        <f t="shared" si="4"/>
        <v>0.10889856876166772</v>
      </c>
    </row>
    <row r="21" spans="1:14" x14ac:dyDescent="0.25">
      <c r="A21" s="8"/>
      <c r="B21" s="18"/>
      <c r="C21" s="18"/>
      <c r="D21" s="8"/>
      <c r="F21" s="8"/>
      <c r="G21" s="18"/>
      <c r="H21" s="18"/>
      <c r="I21" s="8"/>
      <c r="K21" s="8"/>
      <c r="L21" s="8"/>
      <c r="M21" s="8"/>
      <c r="N21" s="17"/>
    </row>
    <row r="22" spans="1:14" x14ac:dyDescent="0.25">
      <c r="A22" s="8" t="s">
        <v>17</v>
      </c>
      <c r="B22" s="18">
        <f>SUM(B17:B20)</f>
        <v>3214</v>
      </c>
      <c r="C22" s="18">
        <f>SUM(C17:C20)</f>
        <v>74.927152000000007</v>
      </c>
      <c r="D22" s="8">
        <f>SUM(D17:D20)</f>
        <v>9.3658940000000008</v>
      </c>
      <c r="F22" s="8" t="s">
        <v>17</v>
      </c>
      <c r="G22" s="18">
        <f>SUM(G17:G20)</f>
        <v>3214</v>
      </c>
      <c r="H22" s="24">
        <f>SUM(H17:H20)</f>
        <v>74.927152000000007</v>
      </c>
      <c r="I22" s="17">
        <f>SUM(I17:I20)</f>
        <v>1.3623118545454547</v>
      </c>
      <c r="K22" s="8" t="s">
        <v>17</v>
      </c>
      <c r="L22" s="8">
        <f>SUM(L17:L20)</f>
        <v>3214</v>
      </c>
      <c r="M22" s="8">
        <f>SUM(M17:M20)</f>
        <v>74.927152000000007</v>
      </c>
      <c r="N22" s="17">
        <f>SUM(N17:N20)</f>
        <v>0.81594596141879272</v>
      </c>
    </row>
    <row r="23" spans="1:14" x14ac:dyDescent="0.25">
      <c r="B23" s="41" t="s">
        <v>88</v>
      </c>
      <c r="C23" s="41"/>
      <c r="D23" s="17">
        <f>SUM(D13+D22)</f>
        <v>52.879643999999999</v>
      </c>
      <c r="G23" s="41" t="s">
        <v>88</v>
      </c>
      <c r="H23" s="41"/>
      <c r="I23" s="17">
        <f>SUM(I13+I22)</f>
        <v>7.6915845818181827</v>
      </c>
      <c r="K23" s="8"/>
      <c r="L23" s="8" t="s">
        <v>88</v>
      </c>
      <c r="M23" s="8"/>
      <c r="N23" s="17">
        <f>SUM(N13+N22)</f>
        <v>2.5392627931019609</v>
      </c>
    </row>
    <row r="24" spans="1:14" x14ac:dyDescent="0.25">
      <c r="B24" s="22"/>
      <c r="C24" s="22"/>
      <c r="D24" s="2"/>
      <c r="G24" s="22"/>
      <c r="H24" s="22"/>
      <c r="I24" s="2"/>
      <c r="N24" s="2"/>
    </row>
    <row r="25" spans="1:14" x14ac:dyDescent="0.25">
      <c r="A25" t="s">
        <v>253</v>
      </c>
      <c r="B25" s="22"/>
      <c r="C25" s="22" t="s">
        <v>255</v>
      </c>
      <c r="D25" s="2" t="s">
        <v>207</v>
      </c>
      <c r="G25" s="22"/>
      <c r="H25" s="22" t="s">
        <v>258</v>
      </c>
      <c r="I25" s="2"/>
      <c r="N25" s="2" t="s">
        <v>259</v>
      </c>
    </row>
    <row r="26" spans="1:14" x14ac:dyDescent="0.25">
      <c r="A26" t="s">
        <v>112</v>
      </c>
      <c r="B26" s="22">
        <v>480</v>
      </c>
      <c r="C26" s="22">
        <f>B26*D59</f>
        <v>43.199999999999996</v>
      </c>
      <c r="D26" s="2">
        <f>C26/8</f>
        <v>5.3999999999999995</v>
      </c>
      <c r="G26" s="22"/>
      <c r="H26" s="22">
        <f>D26/3</f>
        <v>1.7999999999999998</v>
      </c>
      <c r="I26" s="2"/>
      <c r="N26" s="2">
        <f>H26/2</f>
        <v>0.89999999999999991</v>
      </c>
    </row>
    <row r="27" spans="1:14" x14ac:dyDescent="0.25">
      <c r="A27" t="s">
        <v>45</v>
      </c>
      <c r="B27" s="22">
        <v>400</v>
      </c>
      <c r="C27" s="22">
        <f>B27*D57</f>
        <v>17.560000000000002</v>
      </c>
      <c r="D27" s="2">
        <f>C27/8</f>
        <v>2.1950000000000003</v>
      </c>
      <c r="G27" s="22"/>
      <c r="H27" s="22">
        <f>D27/3</f>
        <v>0.7316666666666668</v>
      </c>
      <c r="I27" s="2"/>
      <c r="N27" s="2">
        <f>H27/2</f>
        <v>0.3658333333333334</v>
      </c>
    </row>
    <row r="28" spans="1:14" x14ac:dyDescent="0.25">
      <c r="B28" s="22"/>
      <c r="C28" s="22"/>
      <c r="D28" s="2"/>
      <c r="G28" s="22"/>
      <c r="H28" s="22"/>
      <c r="I28" s="2"/>
      <c r="N28" s="2"/>
    </row>
    <row r="29" spans="1:14" x14ac:dyDescent="0.25">
      <c r="B29" s="22"/>
      <c r="C29" s="22"/>
      <c r="L29" t="s">
        <v>207</v>
      </c>
      <c r="M29" t="s">
        <v>208</v>
      </c>
      <c r="N29" t="s">
        <v>257</v>
      </c>
    </row>
    <row r="30" spans="1:14" ht="45" x14ac:dyDescent="0.25">
      <c r="A30" s="16" t="s">
        <v>115</v>
      </c>
      <c r="B30" s="26">
        <f>SUM(B3+A3)/32</f>
        <v>20.198863636363637</v>
      </c>
      <c r="F30" s="16" t="s">
        <v>206</v>
      </c>
      <c r="G30" s="26">
        <f>SUM(B3+A3)/100</f>
        <v>6.4636363636363638</v>
      </c>
      <c r="K30" t="s">
        <v>241</v>
      </c>
      <c r="L30" s="38">
        <f>SUM(B3+A3)/500</f>
        <v>1.2927272727272727</v>
      </c>
      <c r="M30" s="38">
        <f>SUM(B3+A3)/500</f>
        <v>1.2927272727272727</v>
      </c>
    </row>
    <row r="31" spans="1:14" x14ac:dyDescent="0.25">
      <c r="A31" t="s">
        <v>52</v>
      </c>
      <c r="B31" s="2">
        <f>SUM(D23)</f>
        <v>52.879643999999999</v>
      </c>
      <c r="F31" t="s">
        <v>52</v>
      </c>
      <c r="G31" s="2">
        <f>SUM(I23)</f>
        <v>7.6915845818181827</v>
      </c>
      <c r="K31" t="s">
        <v>52</v>
      </c>
      <c r="L31" s="2">
        <f>SUM(N23)</f>
        <v>2.5392627931019609</v>
      </c>
      <c r="M31" s="2">
        <f>SUM(N23*6)</f>
        <v>15.235576758611765</v>
      </c>
    </row>
    <row r="32" spans="1:14" x14ac:dyDescent="0.25">
      <c r="A32" t="s">
        <v>89</v>
      </c>
      <c r="B32" s="2">
        <v>3.3</v>
      </c>
      <c r="F32" t="s">
        <v>96</v>
      </c>
      <c r="G32" s="2">
        <v>0.7</v>
      </c>
      <c r="K32" t="s">
        <v>96</v>
      </c>
      <c r="L32">
        <v>0.7</v>
      </c>
      <c r="M32">
        <f>0.5*6</f>
        <v>3</v>
      </c>
    </row>
    <row r="33" spans="1:14" x14ac:dyDescent="0.25">
      <c r="A33" t="s">
        <v>90</v>
      </c>
      <c r="B33" s="2">
        <v>1.5</v>
      </c>
      <c r="F33" t="s">
        <v>97</v>
      </c>
      <c r="G33" s="2">
        <v>1.5</v>
      </c>
      <c r="K33" t="s">
        <v>97</v>
      </c>
      <c r="L33">
        <v>1.5</v>
      </c>
      <c r="M33">
        <v>1.5</v>
      </c>
    </row>
    <row r="34" spans="1:14" x14ac:dyDescent="0.25">
      <c r="A34" t="s">
        <v>91</v>
      </c>
      <c r="B34" s="2">
        <f>12/4</f>
        <v>3</v>
      </c>
      <c r="F34" t="s">
        <v>95</v>
      </c>
      <c r="G34" s="2">
        <f>18/24</f>
        <v>0.75</v>
      </c>
      <c r="K34" t="s">
        <v>95</v>
      </c>
      <c r="L34">
        <f>18/24</f>
        <v>0.75</v>
      </c>
      <c r="M34">
        <v>6.5</v>
      </c>
    </row>
    <row r="35" spans="1:14" x14ac:dyDescent="0.25">
      <c r="A35" t="s">
        <v>118</v>
      </c>
      <c r="B35" s="2">
        <v>1</v>
      </c>
      <c r="G35" s="2"/>
    </row>
    <row r="36" spans="1:14" x14ac:dyDescent="0.25">
      <c r="A36" t="s">
        <v>116</v>
      </c>
      <c r="B36">
        <v>0.25</v>
      </c>
      <c r="F36" t="s">
        <v>91</v>
      </c>
      <c r="G36" s="2">
        <v>0.8</v>
      </c>
      <c r="K36" t="s">
        <v>91</v>
      </c>
      <c r="L36" s="2">
        <f>12/50</f>
        <v>0.24</v>
      </c>
      <c r="M36">
        <f>18/6</f>
        <v>3</v>
      </c>
    </row>
    <row r="37" spans="1:14" x14ac:dyDescent="0.25">
      <c r="A37" t="s">
        <v>117</v>
      </c>
      <c r="B37">
        <v>1</v>
      </c>
      <c r="F37" t="s">
        <v>118</v>
      </c>
      <c r="G37" s="2">
        <v>0.25</v>
      </c>
      <c r="K37" t="s">
        <v>118</v>
      </c>
      <c r="L37" s="2">
        <v>0.25</v>
      </c>
      <c r="M37">
        <v>0.25</v>
      </c>
    </row>
    <row r="38" spans="1:14" x14ac:dyDescent="0.25">
      <c r="F38" t="s">
        <v>116</v>
      </c>
      <c r="G38" s="2">
        <v>0.1</v>
      </c>
      <c r="K38" t="s">
        <v>116</v>
      </c>
      <c r="L38">
        <v>0.1</v>
      </c>
      <c r="M38">
        <v>0.1</v>
      </c>
    </row>
    <row r="39" spans="1:14" x14ac:dyDescent="0.25">
      <c r="G39" s="2"/>
    </row>
    <row r="40" spans="1:14" x14ac:dyDescent="0.25">
      <c r="G40" s="2"/>
    </row>
    <row r="41" spans="1:14" x14ac:dyDescent="0.25">
      <c r="B41" t="s">
        <v>148</v>
      </c>
      <c r="C41" t="s">
        <v>254</v>
      </c>
      <c r="G41" s="2"/>
      <c r="H41" t="s">
        <v>254</v>
      </c>
    </row>
    <row r="42" spans="1:14" x14ac:dyDescent="0.25">
      <c r="A42" t="s">
        <v>42</v>
      </c>
      <c r="B42" s="2">
        <f>SUM(B30:B40)</f>
        <v>83.128507636363636</v>
      </c>
      <c r="C42" s="2">
        <f>SUM(D26:D27,B30:B37)</f>
        <v>90.723507636363635</v>
      </c>
      <c r="F42" t="s">
        <v>42</v>
      </c>
      <c r="G42" s="2">
        <f>SUM(G30:G40)</f>
        <v>18.25522094545455</v>
      </c>
      <c r="H42">
        <f>SUM(G26:H39)</f>
        <v>20.786887612121216</v>
      </c>
      <c r="K42" t="s">
        <v>42</v>
      </c>
      <c r="L42">
        <f>SUM(L30:L40)</f>
        <v>7.3719900658292339</v>
      </c>
      <c r="M42" s="38">
        <f>SUM(M30:M40)</f>
        <v>30.878304031339038</v>
      </c>
      <c r="N42" s="39">
        <f>N26+N27+L30+L31+L32+L33+L34</f>
        <v>8.0478233991625672</v>
      </c>
    </row>
    <row r="43" spans="1:14" x14ac:dyDescent="0.25">
      <c r="A43" t="s">
        <v>92</v>
      </c>
      <c r="B43" s="2">
        <f>SUM((B42*0.3)+B42)</f>
        <v>108.06705992727272</v>
      </c>
      <c r="C43">
        <f>1.3*C42</f>
        <v>117.94055992727273</v>
      </c>
      <c r="F43" t="s">
        <v>92</v>
      </c>
      <c r="G43" s="2">
        <f>SUM((G42*0.3)+G42)</f>
        <v>23.731787229090916</v>
      </c>
      <c r="H43">
        <f>1.3*H42</f>
        <v>27.022953895757581</v>
      </c>
      <c r="K43" t="s">
        <v>92</v>
      </c>
      <c r="L43">
        <f>SUM((L42*0.3)+L42)</f>
        <v>9.583587085578003</v>
      </c>
      <c r="M43">
        <f>SUM((M42*0.3)+M42)</f>
        <v>40.141795240740748</v>
      </c>
      <c r="N43">
        <f>1.3*N42</f>
        <v>10.462170418911338</v>
      </c>
    </row>
    <row r="44" spans="1:14" x14ac:dyDescent="0.25">
      <c r="A44" t="s">
        <v>93</v>
      </c>
      <c r="B44" s="2">
        <f>((B43*0.15)+B43)</f>
        <v>124.27711891636363</v>
      </c>
      <c r="C44">
        <f>1.15*C43</f>
        <v>135.63164391636363</v>
      </c>
      <c r="F44" t="s">
        <v>93</v>
      </c>
      <c r="G44" s="2">
        <f>((G43*0.15)+G43)</f>
        <v>27.291555313454552</v>
      </c>
      <c r="H44">
        <f>H43*1.15</f>
        <v>31.076396980121217</v>
      </c>
      <c r="K44" t="s">
        <v>93</v>
      </c>
      <c r="L44">
        <f>((L43*0.15)+L43)</f>
        <v>11.021125148414704</v>
      </c>
      <c r="M44">
        <f>((M43*0.15)+M43)</f>
        <v>46.163064526851862</v>
      </c>
      <c r="N44">
        <f>1.15*N43</f>
        <v>12.031495981748037</v>
      </c>
    </row>
    <row r="45" spans="1:14" x14ac:dyDescent="0.25">
      <c r="A45" t="s">
        <v>256</v>
      </c>
      <c r="B45" s="2">
        <f>B44-B43</f>
        <v>16.210058989090911</v>
      </c>
      <c r="C45">
        <f>C44-C43</f>
        <v>17.691083989090899</v>
      </c>
      <c r="G45" s="2"/>
    </row>
    <row r="46" spans="1:14" x14ac:dyDescent="0.25">
      <c r="B46" s="2"/>
      <c r="G46" s="2"/>
    </row>
    <row r="47" spans="1:14" x14ac:dyDescent="0.25">
      <c r="B47" s="2"/>
      <c r="G47" s="2"/>
    </row>
    <row r="48" spans="1:14" x14ac:dyDescent="0.25">
      <c r="B48" s="2"/>
      <c r="G48" s="2"/>
    </row>
    <row r="49" spans="1:7" x14ac:dyDescent="0.25">
      <c r="B49" s="2"/>
      <c r="G49" s="2"/>
    </row>
    <row r="50" spans="1:7" x14ac:dyDescent="0.25">
      <c r="B50" s="2"/>
      <c r="G50" s="2"/>
    </row>
    <row r="51" spans="1:7" x14ac:dyDescent="0.25">
      <c r="B51" s="2"/>
      <c r="G51" s="2"/>
    </row>
    <row r="53" spans="1:7" x14ac:dyDescent="0.25">
      <c r="A53" s="8" t="str">
        <f>'Cost of Ingredients'!A1</f>
        <v>Cost of ingredients</v>
      </c>
      <c r="B53" s="8" t="str">
        <f>'Cost of Ingredients'!B1</f>
        <v>Quantity</v>
      </c>
      <c r="C53" s="8" t="str">
        <f>'Cost of Ingredients'!C1</f>
        <v>Cost (23.10.2023)</v>
      </c>
      <c r="D53" s="8" t="str">
        <f>'Cost of Ingredients'!D1</f>
        <v>Unit Cost</v>
      </c>
    </row>
    <row r="54" spans="1:7" x14ac:dyDescent="0.25">
      <c r="A54" s="8" t="str">
        <f>'Cost of Ingredients'!A2</f>
        <v>Sugar</v>
      </c>
      <c r="B54" s="8">
        <f>'Cost of Ingredients'!B2</f>
        <v>12500</v>
      </c>
      <c r="C54" s="8">
        <f>'Cost of Ingredients'!C2</f>
        <v>268.5</v>
      </c>
      <c r="D54" s="8">
        <f>'Cost of Ingredients'!D2</f>
        <v>2.1479999999999999E-2</v>
      </c>
    </row>
    <row r="55" spans="1:7" x14ac:dyDescent="0.25">
      <c r="A55" s="8" t="str">
        <f>'Cost of Ingredients'!A3</f>
        <v>Flour White</v>
      </c>
      <c r="B55" s="8">
        <f>'Cost of Ingredients'!B3</f>
        <v>12500</v>
      </c>
      <c r="C55" s="8">
        <f>'Cost of Ingredients'!C3</f>
        <v>167.99</v>
      </c>
      <c r="D55" s="8">
        <f>'Cost of Ingredients'!D3</f>
        <v>1.34392E-2</v>
      </c>
    </row>
    <row r="56" spans="1:7" x14ac:dyDescent="0.25">
      <c r="A56" s="8" t="str">
        <f>'Cost of Ingredients'!A5</f>
        <v>Margerine</v>
      </c>
      <c r="B56" s="8">
        <f>'Cost of Ingredients'!B5</f>
        <v>25000</v>
      </c>
      <c r="C56" s="8">
        <f>'Cost of Ingredients'!C5</f>
        <v>750</v>
      </c>
      <c r="D56" s="8">
        <f>'Cost of Ingredients'!D5</f>
        <v>0.03</v>
      </c>
    </row>
    <row r="57" spans="1:7" x14ac:dyDescent="0.25">
      <c r="A57" s="8" t="str">
        <f>'Cost of Ingredients'!A6</f>
        <v>Creame</v>
      </c>
      <c r="B57" s="8">
        <f>'Cost of Ingredients'!B6</f>
        <v>1000</v>
      </c>
      <c r="C57" s="8">
        <f>'Cost of Ingredients'!C6</f>
        <v>43.9</v>
      </c>
      <c r="D57" s="8">
        <f>'Cost of Ingredients'!D6</f>
        <v>4.3900000000000002E-2</v>
      </c>
    </row>
    <row r="58" spans="1:7" x14ac:dyDescent="0.25">
      <c r="A58" s="8" t="str">
        <f>'Cost of Ingredients'!A7</f>
        <v>Honey</v>
      </c>
      <c r="B58" s="8">
        <f>'Cost of Ingredients'!B7</f>
        <v>1000</v>
      </c>
      <c r="C58" s="8">
        <f>'Cost of Ingredients'!C7</f>
        <v>117</v>
      </c>
      <c r="D58" s="8">
        <f>'Cost of Ingredients'!D7</f>
        <v>0.11700000000000001</v>
      </c>
    </row>
    <row r="59" spans="1:7" x14ac:dyDescent="0.25">
      <c r="A59" s="8" t="str">
        <f>'Cost of Ingredients'!A8</f>
        <v>Chocolate</v>
      </c>
      <c r="B59" s="8">
        <f>'Cost of Ingredients'!B8</f>
        <v>1000</v>
      </c>
      <c r="C59" s="8">
        <f>'Cost of Ingredients'!C8</f>
        <v>90</v>
      </c>
      <c r="D59" s="8">
        <f>'Cost of Ingredients'!D8</f>
        <v>0.09</v>
      </c>
    </row>
    <row r="60" spans="1:7" x14ac:dyDescent="0.25">
      <c r="A60" s="8" t="str">
        <f>'Cost of Ingredients'!A9</f>
        <v>Macadamia Nuts</v>
      </c>
      <c r="B60" s="8">
        <f>'Cost of Ingredients'!B9</f>
        <v>1000</v>
      </c>
      <c r="C60" s="8">
        <f>'Cost of Ingredients'!C9</f>
        <v>100.8230384954452</v>
      </c>
      <c r="D60" s="8">
        <f>'Cost of Ingredients'!D9</f>
        <v>0.1008230384954452</v>
      </c>
    </row>
    <row r="61" spans="1:7" x14ac:dyDescent="0.25">
      <c r="A61" s="8" t="str">
        <f>'Cost of Ingredients'!A10</f>
        <v>Pecan Nuts</v>
      </c>
      <c r="B61" s="8">
        <f>'Cost of Ingredients'!B10</f>
        <v>1000</v>
      </c>
      <c r="C61" s="8">
        <f>'Cost of Ingredients'!C10</f>
        <v>240</v>
      </c>
      <c r="D61" s="8">
        <f>'Cost of Ingredients'!D10</f>
        <v>0.24</v>
      </c>
    </row>
    <row r="62" spans="1:7" x14ac:dyDescent="0.25">
      <c r="A62" s="8" t="str">
        <f>'Cost of Ingredients'!A11</f>
        <v>Eggs</v>
      </c>
      <c r="B62" s="8">
        <f>'Cost of Ingredients'!B11</f>
        <v>1</v>
      </c>
      <c r="C62" s="8">
        <f>'Cost of Ingredients'!C11</f>
        <v>2.5</v>
      </c>
      <c r="D62" s="8">
        <f>'Cost of Ingredients'!D11</f>
        <v>2.5</v>
      </c>
    </row>
    <row r="63" spans="1:7" x14ac:dyDescent="0.25">
      <c r="A63" s="27" t="str">
        <f>'Cost of Ingredients'!A12</f>
        <v>Palm Oil</v>
      </c>
      <c r="B63" s="27">
        <f>'Cost of Ingredients'!B12</f>
        <v>20000</v>
      </c>
      <c r="C63" s="27">
        <f>'Cost of Ingredients'!C12</f>
        <v>520</v>
      </c>
      <c r="D63" s="27">
        <f>'Cost of Ingredients'!D12</f>
        <v>2.5999999999999999E-2</v>
      </c>
    </row>
    <row r="64" spans="1:7" x14ac:dyDescent="0.25">
      <c r="A64" s="27" t="str">
        <f>'Cost of Ingredients'!A13</f>
        <v>Six Guns Spice</v>
      </c>
      <c r="B64" s="27">
        <f>'Cost of Ingredients'!B13</f>
        <v>1000</v>
      </c>
      <c r="C64" s="27">
        <f>'Cost of Ingredients'!C13</f>
        <v>85</v>
      </c>
      <c r="D64" s="27">
        <f>'Cost of Ingredients'!D13</f>
        <v>8.5000000000000006E-2</v>
      </c>
    </row>
    <row r="65" spans="1:4" x14ac:dyDescent="0.25">
      <c r="A65" s="8" t="str">
        <f>'Cost of Ingredients'!A14</f>
        <v>Nutritional Yeast</v>
      </c>
      <c r="B65" s="8">
        <f>'Cost of Ingredients'!B14</f>
        <v>150</v>
      </c>
      <c r="C65" s="8">
        <f>'Cost of Ingredients'!C14</f>
        <v>60</v>
      </c>
      <c r="D65" s="8">
        <f>'Cost of Ingredients'!D14</f>
        <v>0.4</v>
      </c>
    </row>
    <row r="66" spans="1:4" x14ac:dyDescent="0.25">
      <c r="A66" s="8" t="str">
        <f>'Cost of Ingredients'!A15</f>
        <v>Salt and Pepper</v>
      </c>
      <c r="B66" s="8">
        <f>'Cost of Ingredients'!B15</f>
        <v>500</v>
      </c>
      <c r="C66" s="8">
        <f>'Cost of Ingredients'!C15</f>
        <v>110</v>
      </c>
      <c r="D66" s="8">
        <f>'Cost of Ingredients'!D15</f>
        <v>0.22</v>
      </c>
    </row>
    <row r="67" spans="1:4" x14ac:dyDescent="0.25">
      <c r="A67" s="8" t="str">
        <f>'Cost of Ingredients'!A16</f>
        <v>Paprika</v>
      </c>
      <c r="B67" s="8">
        <f>'Cost of Ingredients'!B16</f>
        <v>500</v>
      </c>
      <c r="C67" s="8">
        <f>'Cost of Ingredients'!C16</f>
        <v>60</v>
      </c>
      <c r="D67" s="8">
        <f>'Cost of Ingredients'!D16</f>
        <v>0.12</v>
      </c>
    </row>
    <row r="68" spans="1:4" x14ac:dyDescent="0.25">
      <c r="A68" s="8" t="str">
        <f>'Cost of Ingredients'!A17</f>
        <v>Turmeric</v>
      </c>
      <c r="B68" s="8">
        <f>'Cost of Ingredients'!B17</f>
        <v>500</v>
      </c>
      <c r="C68" s="8">
        <f>'Cost of Ingredients'!C17</f>
        <v>60</v>
      </c>
      <c r="D68" s="8">
        <f>'Cost of Ingredients'!D17</f>
        <v>0.12</v>
      </c>
    </row>
    <row r="69" spans="1:4" x14ac:dyDescent="0.25">
      <c r="A69" s="8" t="str">
        <f>'Cost of Ingredients'!A18</f>
        <v>Herbs</v>
      </c>
      <c r="B69" s="8">
        <f>'Cost of Ingredients'!B18</f>
        <v>500</v>
      </c>
      <c r="C69" s="8">
        <f>'Cost of Ingredients'!C18</f>
        <v>60</v>
      </c>
      <c r="D69" s="8">
        <f>'Cost of Ingredients'!D18</f>
        <v>0.12</v>
      </c>
    </row>
    <row r="70" spans="1:4" x14ac:dyDescent="0.25">
      <c r="A70" t="str">
        <f>'Cost of Ingredients'!A19</f>
        <v>Turmeric Root</v>
      </c>
      <c r="B70">
        <f>'Cost of Ingredients'!B19</f>
        <v>1000</v>
      </c>
      <c r="C70">
        <f>'Cost of Ingredients'!C19</f>
        <v>100</v>
      </c>
      <c r="D70">
        <f>'Cost of Ingredients'!D19</f>
        <v>0.1</v>
      </c>
    </row>
  </sheetData>
  <mergeCells count="3">
    <mergeCell ref="B23:C23"/>
    <mergeCell ref="G23:H23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A7B8-30FC-4321-9B20-BB978B3E9D9F}">
  <dimension ref="A1:K55"/>
  <sheetViews>
    <sheetView topLeftCell="A28" workbookViewId="0">
      <selection activeCell="G48" sqref="G48"/>
    </sheetView>
  </sheetViews>
  <sheetFormatPr defaultRowHeight="15" x14ac:dyDescent="0.25"/>
  <cols>
    <col min="1" max="1" width="21.85546875" bestFit="1" customWidth="1"/>
    <col min="2" max="2" width="26.5703125" bestFit="1" customWidth="1"/>
    <col min="3" max="3" width="16.140625" bestFit="1" customWidth="1"/>
    <col min="4" max="4" width="13.5703125" customWidth="1"/>
    <col min="6" max="6" width="22.42578125" bestFit="1" customWidth="1"/>
    <col min="7" max="7" width="26.5703125" bestFit="1" customWidth="1"/>
    <col min="8" max="8" width="10.5703125" bestFit="1" customWidth="1"/>
    <col min="9" max="9" width="17" bestFit="1" customWidth="1"/>
  </cols>
  <sheetData>
    <row r="1" spans="1:11" x14ac:dyDescent="0.25">
      <c r="A1" t="s">
        <v>1</v>
      </c>
    </row>
    <row r="2" spans="1:11" x14ac:dyDescent="0.25">
      <c r="A2" t="s">
        <v>43</v>
      </c>
      <c r="B2" t="s">
        <v>40</v>
      </c>
      <c r="C2" t="s">
        <v>42</v>
      </c>
    </row>
    <row r="3" spans="1:11" x14ac:dyDescent="0.25">
      <c r="A3" s="2">
        <f>Overheads!$D$32</f>
        <v>236.36363636363637</v>
      </c>
      <c r="B3" s="2">
        <v>410</v>
      </c>
      <c r="C3" s="2">
        <f>SUM(A3:B3)</f>
        <v>646.36363636363637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 t="s">
        <v>111</v>
      </c>
      <c r="C7" s="2"/>
      <c r="D7" s="2"/>
      <c r="E7" s="2"/>
      <c r="F7" s="2"/>
      <c r="G7" s="2"/>
    </row>
    <row r="8" spans="1:11" x14ac:dyDescent="0.25">
      <c r="A8" s="17" t="s">
        <v>80</v>
      </c>
      <c r="B8" s="17" t="s">
        <v>81</v>
      </c>
      <c r="C8" s="17" t="s">
        <v>82</v>
      </c>
      <c r="D8" s="17" t="s">
        <v>110</v>
      </c>
      <c r="E8" s="2"/>
      <c r="F8" s="2"/>
      <c r="G8" s="2"/>
    </row>
    <row r="9" spans="1:11" x14ac:dyDescent="0.25">
      <c r="A9" s="17" t="s">
        <v>44</v>
      </c>
      <c r="B9" s="17">
        <v>1000</v>
      </c>
      <c r="C9" s="17">
        <f>$D$39*B9</f>
        <v>21.48</v>
      </c>
      <c r="D9" s="17">
        <f>SUM(C9/390)</f>
        <v>5.5076923076923079E-2</v>
      </c>
      <c r="E9" s="2"/>
      <c r="F9" s="2"/>
      <c r="G9" s="2"/>
    </row>
    <row r="10" spans="1:11" x14ac:dyDescent="0.25">
      <c r="A10" s="17" t="s">
        <v>45</v>
      </c>
      <c r="B10" s="17">
        <v>800</v>
      </c>
      <c r="C10" s="17">
        <f>B10*$D$42</f>
        <v>35.120000000000005</v>
      </c>
      <c r="D10" s="17">
        <f t="shared" ref="D10:D12" si="0">SUM(C10/390)</f>
        <v>9.0051282051282058E-2</v>
      </c>
      <c r="E10" s="2"/>
      <c r="F10" s="2"/>
      <c r="G10" s="2"/>
    </row>
    <row r="11" spans="1:11" x14ac:dyDescent="0.25">
      <c r="A11" s="17" t="s">
        <v>46</v>
      </c>
      <c r="B11" s="17">
        <v>30</v>
      </c>
      <c r="C11" s="17">
        <f>B11*$D$43</f>
        <v>3.5100000000000002</v>
      </c>
      <c r="D11" s="17">
        <f t="shared" si="0"/>
        <v>9.0000000000000011E-3</v>
      </c>
      <c r="E11" s="2"/>
      <c r="F11" s="2"/>
      <c r="G11" s="2"/>
    </row>
    <row r="12" spans="1:11" x14ac:dyDescent="0.25">
      <c r="A12" s="17" t="s">
        <v>50</v>
      </c>
      <c r="B12" s="17">
        <v>1200</v>
      </c>
      <c r="C12" s="17">
        <f>B12*$D$46</f>
        <v>288</v>
      </c>
      <c r="D12" s="17">
        <f t="shared" si="0"/>
        <v>0.7384615384615385</v>
      </c>
      <c r="E12" s="2"/>
      <c r="F12" s="2"/>
      <c r="G12" s="2"/>
    </row>
    <row r="13" spans="1:11" x14ac:dyDescent="0.25">
      <c r="A13" s="17" t="s">
        <v>17</v>
      </c>
      <c r="B13" s="17">
        <f>SUM(B9:B12)</f>
        <v>3030</v>
      </c>
      <c r="C13" s="17">
        <f>SUM(C9:C12)</f>
        <v>348.11</v>
      </c>
      <c r="D13" s="17">
        <f>SUM(D9:D12)</f>
        <v>0.89258974358974363</v>
      </c>
      <c r="E13" s="2"/>
      <c r="F13" s="2"/>
      <c r="G13" s="2"/>
    </row>
    <row r="14" spans="1:11" x14ac:dyDescent="0.25">
      <c r="A14" s="2"/>
      <c r="B14" s="2"/>
      <c r="C14" s="2"/>
      <c r="D14" s="2"/>
      <c r="E14" s="2"/>
      <c r="F14" s="2"/>
      <c r="G14" s="2"/>
    </row>
    <row r="15" spans="1:11" x14ac:dyDescent="0.25">
      <c r="A15" s="2"/>
      <c r="B15" s="2"/>
      <c r="C15" s="2"/>
      <c r="D15" s="2"/>
      <c r="E15" s="2"/>
      <c r="F15" s="2"/>
      <c r="G15" s="2"/>
    </row>
    <row r="16" spans="1:11" x14ac:dyDescent="0.25">
      <c r="A16" s="2"/>
      <c r="B16" s="2" t="s">
        <v>114</v>
      </c>
      <c r="C16" s="2"/>
      <c r="D16" s="2"/>
      <c r="E16" s="2"/>
      <c r="F16" s="2"/>
      <c r="G16" s="2"/>
    </row>
    <row r="17" spans="1:7" x14ac:dyDescent="0.25">
      <c r="A17" s="17" t="s">
        <v>47</v>
      </c>
      <c r="B17" s="17">
        <v>1560</v>
      </c>
      <c r="C17" s="17">
        <f>B17*$D$40</f>
        <v>20.965152</v>
      </c>
      <c r="D17" s="17">
        <f>SUM(C17/198)</f>
        <v>0.10588460606060605</v>
      </c>
      <c r="E17" s="2"/>
      <c r="F17" s="2"/>
      <c r="G17" s="2"/>
    </row>
    <row r="18" spans="1:7" x14ac:dyDescent="0.25">
      <c r="A18" s="17" t="s">
        <v>44</v>
      </c>
      <c r="B18" s="17">
        <v>650</v>
      </c>
      <c r="C18" s="17">
        <f>$D$39*B18</f>
        <v>13.962</v>
      </c>
      <c r="D18" s="17">
        <f t="shared" ref="D18:D20" si="1">SUM(C18/198)</f>
        <v>7.0515151515151517E-2</v>
      </c>
      <c r="E18" s="2"/>
      <c r="F18" s="2"/>
      <c r="G18" s="2"/>
    </row>
    <row r="19" spans="1:7" x14ac:dyDescent="0.25">
      <c r="A19" s="17" t="s">
        <v>48</v>
      </c>
      <c r="B19" s="17">
        <v>1000</v>
      </c>
      <c r="C19" s="17">
        <f>B19*$D$41</f>
        <v>30</v>
      </c>
      <c r="D19" s="17">
        <f t="shared" si="1"/>
        <v>0.15151515151515152</v>
      </c>
      <c r="E19" s="2"/>
      <c r="F19" s="2"/>
      <c r="G19" s="2"/>
    </row>
    <row r="20" spans="1:7" x14ac:dyDescent="0.25">
      <c r="A20" s="17" t="s">
        <v>49</v>
      </c>
      <c r="B20" s="17">
        <v>4</v>
      </c>
      <c r="C20" s="17">
        <f>B20*$D$47</f>
        <v>10</v>
      </c>
      <c r="D20" s="17">
        <f t="shared" si="1"/>
        <v>5.0505050505050504E-2</v>
      </c>
      <c r="E20" s="2"/>
      <c r="F20" s="2"/>
      <c r="G20" s="2"/>
    </row>
    <row r="21" spans="1:7" x14ac:dyDescent="0.25">
      <c r="A21" s="17"/>
      <c r="B21" s="17"/>
      <c r="C21" s="17"/>
      <c r="D21" s="17"/>
      <c r="E21" s="2"/>
      <c r="F21" s="2"/>
      <c r="G21" s="2"/>
    </row>
    <row r="22" spans="1:7" x14ac:dyDescent="0.25">
      <c r="A22" s="17" t="s">
        <v>17</v>
      </c>
      <c r="B22" s="17">
        <f>SUM(B17:B20)</f>
        <v>3214</v>
      </c>
      <c r="C22" s="17">
        <f>SUM(C17:C20)</f>
        <v>74.927152000000007</v>
      </c>
      <c r="D22" s="17">
        <f>SUM(D17:D20)</f>
        <v>0.37841995959595959</v>
      </c>
      <c r="E22" s="2"/>
      <c r="F22" s="2"/>
      <c r="G22" s="2"/>
    </row>
    <row r="23" spans="1:7" x14ac:dyDescent="0.25">
      <c r="A23" s="17"/>
      <c r="B23" s="17" t="s">
        <v>108</v>
      </c>
      <c r="C23" s="17"/>
      <c r="D23" s="17">
        <f>SUM(D13+D22)</f>
        <v>1.2710097031857033</v>
      </c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 t="s">
        <v>128</v>
      </c>
      <c r="C25" s="2" t="s">
        <v>129</v>
      </c>
      <c r="D25" s="2" t="s">
        <v>130</v>
      </c>
      <c r="E25" s="2"/>
      <c r="F25" s="2"/>
      <c r="G25" s="2"/>
    </row>
    <row r="26" spans="1:7" x14ac:dyDescent="0.25">
      <c r="A26" s="2" t="s">
        <v>51</v>
      </c>
      <c r="B26" s="2">
        <f>SUM(B3+A3)/50</f>
        <v>12.927272727272728</v>
      </c>
      <c r="C26" s="2">
        <f>SUM(A3+B3)/130</f>
        <v>4.9720279720279725</v>
      </c>
      <c r="D26" s="2">
        <f>SUM(A3+C3)/550</f>
        <v>1.6049586776859504</v>
      </c>
      <c r="E26" s="2"/>
      <c r="F26" s="2"/>
      <c r="G26" s="2"/>
    </row>
    <row r="27" spans="1:7" x14ac:dyDescent="0.25">
      <c r="A27" s="2" t="s">
        <v>52</v>
      </c>
      <c r="B27" s="2">
        <f>SUM(D23*10)</f>
        <v>12.710097031857032</v>
      </c>
      <c r="C27" s="2">
        <f>SUM(D23*4)</f>
        <v>5.0840388127428131</v>
      </c>
      <c r="D27" s="2">
        <f>SUM(D23*1)</f>
        <v>1.2710097031857033</v>
      </c>
      <c r="E27" s="2"/>
      <c r="F27" s="2"/>
      <c r="G27" s="2"/>
    </row>
    <row r="28" spans="1:7" x14ac:dyDescent="0.25">
      <c r="A28" s="2" t="s">
        <v>109</v>
      </c>
      <c r="B28" s="2">
        <v>6</v>
      </c>
      <c r="C28" s="2">
        <v>4.5</v>
      </c>
      <c r="D28" s="2">
        <v>0.5</v>
      </c>
      <c r="E28" s="2"/>
      <c r="F28" s="2"/>
      <c r="G28" s="2"/>
    </row>
    <row r="29" spans="1:7" x14ac:dyDescent="0.25">
      <c r="A29" s="2" t="s">
        <v>90</v>
      </c>
      <c r="B29" s="2">
        <v>1.5</v>
      </c>
      <c r="C29" s="2">
        <v>1.5</v>
      </c>
      <c r="D29" s="2">
        <v>0</v>
      </c>
      <c r="E29" s="2"/>
      <c r="F29" s="2"/>
      <c r="G29" s="2"/>
    </row>
    <row r="30" spans="1:7" x14ac:dyDescent="0.25">
      <c r="A30" s="2" t="s">
        <v>91</v>
      </c>
      <c r="B30" s="2">
        <f>12/20</f>
        <v>0.6</v>
      </c>
      <c r="C30" s="2">
        <f>12/20</f>
        <v>0.6</v>
      </c>
      <c r="D30" s="2">
        <f>12/100</f>
        <v>0.12</v>
      </c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 t="s">
        <v>42</v>
      </c>
      <c r="B32" s="2">
        <f>SUM(B26:B30)</f>
        <v>33.737369759129763</v>
      </c>
      <c r="C32" s="2">
        <f>SUM(C26:C30)</f>
        <v>16.656066784770786</v>
      </c>
      <c r="D32" s="2">
        <f>SUM(D26:D30)</f>
        <v>3.4959683808716537</v>
      </c>
      <c r="E32" s="2"/>
      <c r="F32" s="2"/>
      <c r="G32" s="2"/>
    </row>
    <row r="33" spans="1:11" x14ac:dyDescent="0.25">
      <c r="A33" s="2" t="s">
        <v>92</v>
      </c>
      <c r="B33" s="2">
        <f>SUM((B32*0.3)+B32)</f>
        <v>43.858580686868692</v>
      </c>
      <c r="C33" s="2">
        <f>SUM((C32*0.3)+C32)</f>
        <v>21.652886820202021</v>
      </c>
      <c r="D33" s="2">
        <f>SUM((D32*0.3)+D32)</f>
        <v>4.5447588951331497</v>
      </c>
      <c r="E33" s="2"/>
      <c r="F33" s="2"/>
      <c r="G33" s="2"/>
    </row>
    <row r="34" spans="1:11" x14ac:dyDescent="0.25">
      <c r="A34" s="2" t="s">
        <v>93</v>
      </c>
      <c r="B34" s="2">
        <f>((B33*0.15)+B33)</f>
        <v>50.437367789898992</v>
      </c>
      <c r="C34" s="2">
        <f>((C33*0.15)+C33)</f>
        <v>24.900819843232323</v>
      </c>
      <c r="D34" s="2">
        <f>((D33*0.15)+D33)</f>
        <v>5.2264727294031221</v>
      </c>
      <c r="E34" s="2"/>
      <c r="F34" s="2"/>
      <c r="G34" s="2"/>
    </row>
    <row r="35" spans="1:11" x14ac:dyDescent="0.25">
      <c r="A35" s="2"/>
      <c r="B35" s="2"/>
      <c r="C35" s="2"/>
      <c r="D35" s="2"/>
      <c r="E35" s="2"/>
      <c r="F35" s="2"/>
      <c r="G35" s="2"/>
    </row>
    <row r="36" spans="1:11" x14ac:dyDescent="0.25">
      <c r="A36" s="2"/>
      <c r="B36" s="2"/>
      <c r="C36" s="2"/>
      <c r="D36" s="2"/>
      <c r="E36" s="2"/>
      <c r="F36" s="2"/>
      <c r="G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17" t="str">
        <f>'Cost of Ingredients'!A1</f>
        <v>Cost of ingredients</v>
      </c>
      <c r="B38" s="17" t="str">
        <f>'Cost of Ingredients'!B1</f>
        <v>Quantity</v>
      </c>
      <c r="C38" s="17" t="str">
        <f>'Cost of Ingredients'!C1</f>
        <v>Cost (23.10.2023)</v>
      </c>
      <c r="D38" s="17" t="str">
        <f>'Cost of Ingredients'!D1</f>
        <v>Unit Cost</v>
      </c>
      <c r="E38" s="2"/>
      <c r="F38" s="2"/>
      <c r="G38" s="2"/>
      <c r="H38" s="2"/>
      <c r="I38" s="2"/>
      <c r="J38" s="2"/>
      <c r="K38" s="2"/>
    </row>
    <row r="39" spans="1:11" x14ac:dyDescent="0.25">
      <c r="A39" s="17" t="str">
        <f>'Cost of Ingredients'!A2</f>
        <v>Sugar</v>
      </c>
      <c r="B39" s="17">
        <f>'Cost of Ingredients'!B2</f>
        <v>12500</v>
      </c>
      <c r="C39" s="17">
        <f>'Cost of Ingredients'!C2</f>
        <v>268.5</v>
      </c>
      <c r="D39" s="17">
        <f>'Cost of Ingredients'!D2</f>
        <v>2.1479999999999999E-2</v>
      </c>
      <c r="E39" s="2"/>
      <c r="F39" s="2"/>
      <c r="G39" s="2"/>
      <c r="H39" s="2"/>
      <c r="I39" s="2"/>
      <c r="J39" s="2"/>
      <c r="K39" s="2"/>
    </row>
    <row r="40" spans="1:11" x14ac:dyDescent="0.25">
      <c r="A40" s="17" t="str">
        <f>'Cost of Ingredients'!A3</f>
        <v>Flour White</v>
      </c>
      <c r="B40" s="17">
        <f>'Cost of Ingredients'!B3</f>
        <v>12500</v>
      </c>
      <c r="C40" s="17">
        <f>'Cost of Ingredients'!C3</f>
        <v>167.99</v>
      </c>
      <c r="D40" s="17">
        <f>'Cost of Ingredients'!D3</f>
        <v>1.34392E-2</v>
      </c>
      <c r="E40" s="2"/>
      <c r="F40" s="2"/>
      <c r="G40" s="2"/>
      <c r="H40" s="2"/>
      <c r="I40" s="2"/>
      <c r="J40" s="2"/>
      <c r="K40" s="2"/>
    </row>
    <row r="41" spans="1:11" x14ac:dyDescent="0.25">
      <c r="A41" s="17" t="str">
        <f>'Cost of Ingredients'!A5</f>
        <v>Margerine</v>
      </c>
      <c r="B41" s="17">
        <f>'Cost of Ingredients'!B5</f>
        <v>25000</v>
      </c>
      <c r="C41" s="17">
        <f>'Cost of Ingredients'!C5</f>
        <v>750</v>
      </c>
      <c r="D41" s="17">
        <f>'Cost of Ingredients'!D5</f>
        <v>0.03</v>
      </c>
      <c r="E41" s="2"/>
      <c r="F41" s="2"/>
      <c r="G41" s="2"/>
      <c r="H41" s="2"/>
      <c r="I41" s="2"/>
      <c r="J41" s="2"/>
      <c r="K41" s="2"/>
    </row>
    <row r="42" spans="1:11" x14ac:dyDescent="0.25">
      <c r="A42" s="17" t="str">
        <f>'Cost of Ingredients'!A6</f>
        <v>Creame</v>
      </c>
      <c r="B42" s="17">
        <f>'Cost of Ingredients'!B6</f>
        <v>1000</v>
      </c>
      <c r="C42" s="17">
        <f>'Cost of Ingredients'!C6</f>
        <v>43.9</v>
      </c>
      <c r="D42" s="17">
        <f>'Cost of Ingredients'!D6</f>
        <v>4.3900000000000002E-2</v>
      </c>
      <c r="E42" s="2"/>
      <c r="F42" s="2"/>
      <c r="G42" s="2"/>
      <c r="H42" s="2"/>
      <c r="I42" s="2"/>
      <c r="J42" s="2"/>
      <c r="K42" s="2"/>
    </row>
    <row r="43" spans="1:11" x14ac:dyDescent="0.25">
      <c r="A43" s="17" t="str">
        <f>'Cost of Ingredients'!A7</f>
        <v>Honey</v>
      </c>
      <c r="B43" s="17">
        <f>'Cost of Ingredients'!B7</f>
        <v>1000</v>
      </c>
      <c r="C43" s="17">
        <f>'Cost of Ingredients'!C7</f>
        <v>117</v>
      </c>
      <c r="D43" s="17">
        <f>'Cost of Ingredients'!D7</f>
        <v>0.11700000000000001</v>
      </c>
      <c r="E43" s="2"/>
      <c r="F43" s="2"/>
      <c r="G43" s="2"/>
      <c r="H43" s="2"/>
      <c r="I43" s="2"/>
      <c r="J43" s="2"/>
      <c r="K43" s="2"/>
    </row>
    <row r="44" spans="1:11" x14ac:dyDescent="0.25">
      <c r="A44" s="17" t="str">
        <f>'Cost of Ingredients'!A8</f>
        <v>Chocolate</v>
      </c>
      <c r="B44" s="17">
        <f>'Cost of Ingredients'!B8</f>
        <v>1000</v>
      </c>
      <c r="C44" s="17">
        <f>'Cost of Ingredients'!C8</f>
        <v>90</v>
      </c>
      <c r="D44" s="17">
        <f>'Cost of Ingredients'!D8</f>
        <v>0.09</v>
      </c>
      <c r="E44" s="2"/>
      <c r="F44" s="2"/>
      <c r="G44" s="2"/>
      <c r="H44" s="2"/>
      <c r="I44" s="2"/>
      <c r="J44" s="2"/>
      <c r="K44" s="2"/>
    </row>
    <row r="45" spans="1:11" x14ac:dyDescent="0.25">
      <c r="A45" s="17" t="str">
        <f>'Cost of Ingredients'!A9</f>
        <v>Macadamia Nuts</v>
      </c>
      <c r="B45" s="17">
        <f>'Cost of Ingredients'!B9</f>
        <v>1000</v>
      </c>
      <c r="C45" s="17">
        <f>'Cost of Ingredients'!C9</f>
        <v>100.8230384954452</v>
      </c>
      <c r="D45" s="17">
        <f>'Cost of Ingredients'!D9</f>
        <v>0.1008230384954452</v>
      </c>
      <c r="E45" s="2"/>
      <c r="F45" s="2"/>
      <c r="G45" s="2"/>
      <c r="H45" s="2"/>
      <c r="I45" s="2"/>
      <c r="J45" s="2"/>
      <c r="K45" s="2"/>
    </row>
    <row r="46" spans="1:11" x14ac:dyDescent="0.25">
      <c r="A46" s="17" t="str">
        <f>'Cost of Ingredients'!A10</f>
        <v>Pecan Nuts</v>
      </c>
      <c r="B46" s="17">
        <f>'Cost of Ingredients'!B10</f>
        <v>1000</v>
      </c>
      <c r="C46" s="17">
        <f>'Cost of Ingredients'!C10</f>
        <v>240</v>
      </c>
      <c r="D46" s="17">
        <f>'Cost of Ingredients'!D10</f>
        <v>0.24</v>
      </c>
      <c r="E46" s="2"/>
      <c r="F46" s="2"/>
      <c r="G46" s="2"/>
      <c r="H46" s="2"/>
      <c r="I46" s="2"/>
      <c r="J46" s="2"/>
      <c r="K46" s="2"/>
    </row>
    <row r="47" spans="1:11" x14ac:dyDescent="0.25">
      <c r="A47" s="17" t="str">
        <f>'Cost of Ingredients'!A11</f>
        <v>Eggs</v>
      </c>
      <c r="B47" s="17">
        <f>'Cost of Ingredients'!B11</f>
        <v>1</v>
      </c>
      <c r="C47" s="17">
        <f>'Cost of Ingredients'!C11</f>
        <v>2.5</v>
      </c>
      <c r="D47" s="17">
        <f>'Cost of Ingredients'!D11</f>
        <v>2.5</v>
      </c>
      <c r="E47" s="2"/>
      <c r="F47" s="2"/>
      <c r="G47" s="2"/>
      <c r="H47" s="2"/>
      <c r="I47" s="2"/>
      <c r="J47" s="2"/>
      <c r="K47" s="2"/>
    </row>
    <row r="48" spans="1:11" x14ac:dyDescent="0.25">
      <c r="A48" s="27" t="str">
        <f>'Cost of Ingredients'!A12</f>
        <v>Palm Oil</v>
      </c>
      <c r="B48" s="27">
        <f>'Cost of Ingredients'!B12</f>
        <v>20000</v>
      </c>
      <c r="C48" s="27">
        <f>'Cost of Ingredients'!C12</f>
        <v>520</v>
      </c>
      <c r="D48" s="27">
        <f>'Cost of Ingredients'!D12</f>
        <v>2.5999999999999999E-2</v>
      </c>
    </row>
    <row r="49" spans="1:4" x14ac:dyDescent="0.25">
      <c r="A49" s="27" t="str">
        <f>'Cost of Ingredients'!A13</f>
        <v>Six Guns Spice</v>
      </c>
      <c r="B49" s="27">
        <f>'Cost of Ingredients'!B13</f>
        <v>1000</v>
      </c>
      <c r="C49" s="27">
        <f>'Cost of Ingredients'!C13</f>
        <v>85</v>
      </c>
      <c r="D49" s="27">
        <f>'Cost of Ingredients'!D13</f>
        <v>8.5000000000000006E-2</v>
      </c>
    </row>
    <row r="50" spans="1:4" x14ac:dyDescent="0.25">
      <c r="A50" s="8" t="str">
        <f>'Cost of Ingredients'!A14</f>
        <v>Nutritional Yeast</v>
      </c>
      <c r="B50" s="8">
        <f>'Cost of Ingredients'!B14</f>
        <v>150</v>
      </c>
      <c r="C50" s="8">
        <f>'Cost of Ingredients'!C14</f>
        <v>60</v>
      </c>
      <c r="D50" s="8">
        <f>'Cost of Ingredients'!D14</f>
        <v>0.4</v>
      </c>
    </row>
    <row r="51" spans="1:4" x14ac:dyDescent="0.25">
      <c r="A51" s="8" t="str">
        <f>'Cost of Ingredients'!A15</f>
        <v>Salt and Pepper</v>
      </c>
      <c r="B51" s="8">
        <f>'Cost of Ingredients'!B15</f>
        <v>500</v>
      </c>
      <c r="C51" s="8">
        <f>'Cost of Ingredients'!C15</f>
        <v>110</v>
      </c>
      <c r="D51" s="8">
        <f>'Cost of Ingredients'!D15</f>
        <v>0.22</v>
      </c>
    </row>
    <row r="52" spans="1:4" x14ac:dyDescent="0.25">
      <c r="A52" s="8" t="str">
        <f>'Cost of Ingredients'!A16</f>
        <v>Paprika</v>
      </c>
      <c r="B52" s="8">
        <f>'Cost of Ingredients'!B16</f>
        <v>500</v>
      </c>
      <c r="C52" s="8">
        <f>'Cost of Ingredients'!C16</f>
        <v>60</v>
      </c>
      <c r="D52" s="8">
        <f>'Cost of Ingredients'!D16</f>
        <v>0.12</v>
      </c>
    </row>
    <row r="53" spans="1:4" x14ac:dyDescent="0.25">
      <c r="A53" s="8" t="str">
        <f>'Cost of Ingredients'!A17</f>
        <v>Turmeric</v>
      </c>
      <c r="B53" s="8">
        <f>'Cost of Ingredients'!B17</f>
        <v>500</v>
      </c>
      <c r="C53" s="8">
        <f>'Cost of Ingredients'!C17</f>
        <v>60</v>
      </c>
      <c r="D53" s="8">
        <f>'Cost of Ingredients'!D17</f>
        <v>0.12</v>
      </c>
    </row>
    <row r="54" spans="1:4" x14ac:dyDescent="0.25">
      <c r="A54" s="8" t="str">
        <f>'Cost of Ingredients'!A18</f>
        <v>Herbs</v>
      </c>
      <c r="B54" s="8">
        <f>'Cost of Ingredients'!B18</f>
        <v>500</v>
      </c>
      <c r="C54" s="8">
        <f>'Cost of Ingredients'!C18</f>
        <v>60</v>
      </c>
      <c r="D54" s="8">
        <f>'Cost of Ingredients'!D18</f>
        <v>0.12</v>
      </c>
    </row>
    <row r="55" spans="1:4" x14ac:dyDescent="0.25">
      <c r="A55" t="str">
        <f>'Cost of Ingredients'!A19</f>
        <v>Turmeric Root</v>
      </c>
      <c r="B55">
        <f>'Cost of Ingredients'!B19</f>
        <v>1000</v>
      </c>
      <c r="C55">
        <f>'Cost of Ingredients'!C19</f>
        <v>100</v>
      </c>
      <c r="D55">
        <f>'Cost of Ingredients'!D19</f>
        <v>0.1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4C32-C07B-419A-BF56-6F1886A4B5CE}">
  <dimension ref="A1:D58"/>
  <sheetViews>
    <sheetView topLeftCell="A27" workbookViewId="0">
      <selection activeCell="A42" sqref="A42:D58"/>
    </sheetView>
  </sheetViews>
  <sheetFormatPr defaultRowHeight="15" x14ac:dyDescent="0.25"/>
  <cols>
    <col min="1" max="1" width="21.7109375" bestFit="1" customWidth="1"/>
    <col min="2" max="2" width="14.140625" bestFit="1" customWidth="1"/>
    <col min="3" max="3" width="16" bestFit="1" customWidth="1"/>
    <col min="4" max="4" width="11.5703125" bestFit="1" customWidth="1"/>
    <col min="6" max="6" width="22.42578125" bestFit="1" customWidth="1"/>
    <col min="8" max="8" width="10" bestFit="1" customWidth="1"/>
    <col min="9" max="9" width="16.85546875" bestFit="1" customWidth="1"/>
  </cols>
  <sheetData>
    <row r="1" spans="1:4" x14ac:dyDescent="0.25">
      <c r="A1" s="42" t="s">
        <v>1</v>
      </c>
      <c r="B1" s="42"/>
      <c r="C1" s="42"/>
    </row>
    <row r="2" spans="1:4" x14ac:dyDescent="0.25">
      <c r="A2" s="8" t="s">
        <v>43</v>
      </c>
      <c r="B2" s="8" t="s">
        <v>40</v>
      </c>
      <c r="C2" s="8" t="s">
        <v>42</v>
      </c>
    </row>
    <row r="3" spans="1:4" x14ac:dyDescent="0.25">
      <c r="A3" s="17">
        <f>Overheads!$D$32</f>
        <v>236.36363636363637</v>
      </c>
      <c r="B3" s="8">
        <v>410</v>
      </c>
      <c r="C3" s="17">
        <f>SUM(A3:B3)</f>
        <v>646.36363636363637</v>
      </c>
    </row>
    <row r="6" spans="1:4" x14ac:dyDescent="0.25">
      <c r="A6" s="40"/>
      <c r="B6" s="40"/>
      <c r="C6" s="40"/>
      <c r="D6" s="40"/>
    </row>
    <row r="7" spans="1:4" ht="30" x14ac:dyDescent="0.25">
      <c r="A7" s="8"/>
      <c r="B7" s="23" t="s">
        <v>113</v>
      </c>
      <c r="C7" s="8"/>
      <c r="D7" s="8"/>
    </row>
    <row r="8" spans="1:4" x14ac:dyDescent="0.25">
      <c r="A8" s="8" t="s">
        <v>80</v>
      </c>
      <c r="B8" s="18" t="s">
        <v>81</v>
      </c>
      <c r="C8" s="18" t="s">
        <v>82</v>
      </c>
      <c r="D8" s="8" t="s">
        <v>125</v>
      </c>
    </row>
    <row r="9" spans="1:4" x14ac:dyDescent="0.25">
      <c r="A9" s="8" t="s">
        <v>44</v>
      </c>
      <c r="B9" s="18">
        <v>1000</v>
      </c>
      <c r="C9" s="18">
        <f>$D$42*B9</f>
        <v>21.48</v>
      </c>
      <c r="D9" s="8">
        <f>SUM(C9/150)</f>
        <v>0.14319999999999999</v>
      </c>
    </row>
    <row r="10" spans="1:4" x14ac:dyDescent="0.25">
      <c r="A10" s="8" t="s">
        <v>45</v>
      </c>
      <c r="B10" s="18">
        <v>800</v>
      </c>
      <c r="C10" s="18">
        <f>B10*$D$45</f>
        <v>35.120000000000005</v>
      </c>
      <c r="D10" s="8">
        <f t="shared" ref="D10:D13" si="0">SUM(C10/150)</f>
        <v>0.23413333333333336</v>
      </c>
    </row>
    <row r="11" spans="1:4" x14ac:dyDescent="0.25">
      <c r="A11" s="8" t="s">
        <v>46</v>
      </c>
      <c r="B11" s="18">
        <v>30</v>
      </c>
      <c r="C11" s="18">
        <f>B11*$D$46</f>
        <v>3.5100000000000002</v>
      </c>
      <c r="D11" s="8">
        <f t="shared" si="0"/>
        <v>2.3400000000000001E-2</v>
      </c>
    </row>
    <row r="12" spans="1:4" x14ac:dyDescent="0.25">
      <c r="A12" s="8" t="s">
        <v>50</v>
      </c>
      <c r="B12" s="18">
        <v>1200</v>
      </c>
      <c r="C12" s="18">
        <f>B12*$D$49</f>
        <v>288</v>
      </c>
      <c r="D12" s="8">
        <f t="shared" si="0"/>
        <v>1.92</v>
      </c>
    </row>
    <row r="13" spans="1:4" x14ac:dyDescent="0.25">
      <c r="A13" s="8" t="s">
        <v>112</v>
      </c>
      <c r="B13" s="18">
        <v>1000</v>
      </c>
      <c r="C13" s="18">
        <f>B13*$D$47</f>
        <v>90</v>
      </c>
      <c r="D13" s="8">
        <f t="shared" si="0"/>
        <v>0.6</v>
      </c>
    </row>
    <row r="14" spans="1:4" x14ac:dyDescent="0.25">
      <c r="A14" s="8"/>
      <c r="B14" s="18"/>
      <c r="C14" s="18"/>
      <c r="D14" s="8"/>
    </row>
    <row r="15" spans="1:4" x14ac:dyDescent="0.25">
      <c r="A15" s="8" t="s">
        <v>17</v>
      </c>
      <c r="B15" s="18">
        <f>SUM(B9:B13)</f>
        <v>4030</v>
      </c>
      <c r="C15" s="18">
        <f>SUM(C9:C12)</f>
        <v>348.11</v>
      </c>
      <c r="D15" s="17">
        <f>SUM(D9:D12)</f>
        <v>2.3207333333333331</v>
      </c>
    </row>
    <row r="16" spans="1:4" x14ac:dyDescent="0.25">
      <c r="C16" s="18"/>
      <c r="D16" s="8"/>
    </row>
    <row r="17" spans="1:3" x14ac:dyDescent="0.25">
      <c r="A17" s="43" t="s">
        <v>88</v>
      </c>
      <c r="B17" s="44"/>
      <c r="C17" s="17">
        <f>SUM(C15)</f>
        <v>348.11</v>
      </c>
    </row>
    <row r="18" spans="1:3" x14ac:dyDescent="0.25">
      <c r="A18" s="41" t="s">
        <v>122</v>
      </c>
      <c r="B18" s="41"/>
      <c r="C18" s="17">
        <f>C17/150</f>
        <v>2.3207333333333335</v>
      </c>
    </row>
    <row r="19" spans="1:3" x14ac:dyDescent="0.25">
      <c r="B19" s="22"/>
      <c r="C19" s="22"/>
    </row>
    <row r="20" spans="1:3" ht="30" x14ac:dyDescent="0.25">
      <c r="A20" s="16" t="s">
        <v>126</v>
      </c>
      <c r="B20" s="26">
        <f>SUM(B3+A3)/400</f>
        <v>1.615909090909091</v>
      </c>
    </row>
    <row r="21" spans="1:3" x14ac:dyDescent="0.25">
      <c r="A21" t="s">
        <v>52</v>
      </c>
      <c r="B21" s="2">
        <f>SUM(C18)</f>
        <v>2.3207333333333335</v>
      </c>
    </row>
    <row r="22" spans="1:3" x14ac:dyDescent="0.25">
      <c r="A22" t="s">
        <v>91</v>
      </c>
      <c r="B22" s="2">
        <f>12/50</f>
        <v>0.24</v>
      </c>
    </row>
    <row r="23" spans="1:3" x14ac:dyDescent="0.25">
      <c r="A23" t="s">
        <v>124</v>
      </c>
      <c r="B23" s="2">
        <v>0.1</v>
      </c>
    </row>
    <row r="24" spans="1:3" x14ac:dyDescent="0.25">
      <c r="A24" t="s">
        <v>123</v>
      </c>
      <c r="B24">
        <v>0.1</v>
      </c>
    </row>
    <row r="25" spans="1:3" x14ac:dyDescent="0.25">
      <c r="A25" t="s">
        <v>117</v>
      </c>
      <c r="B25">
        <v>0.5</v>
      </c>
    </row>
    <row r="30" spans="1:3" x14ac:dyDescent="0.25">
      <c r="A30" t="s">
        <v>42</v>
      </c>
      <c r="B30" s="2">
        <f>SUM(B20:B28)</f>
        <v>4.8766424242424238</v>
      </c>
    </row>
    <row r="31" spans="1:3" x14ac:dyDescent="0.25">
      <c r="A31" t="s">
        <v>92</v>
      </c>
      <c r="B31" s="2">
        <f>SUM((B30*0.3)+B30)</f>
        <v>6.339635151515151</v>
      </c>
    </row>
    <row r="32" spans="1:3" x14ac:dyDescent="0.25">
      <c r="A32" t="s">
        <v>93</v>
      </c>
      <c r="B32" s="2">
        <f>((B31*0.15)+B31)</f>
        <v>7.2905804242424237</v>
      </c>
    </row>
    <row r="33" spans="1:4" x14ac:dyDescent="0.25">
      <c r="B33" s="2"/>
    </row>
    <row r="34" spans="1:4" x14ac:dyDescent="0.25">
      <c r="B34" s="2"/>
    </row>
    <row r="35" spans="1:4" x14ac:dyDescent="0.25">
      <c r="B35" s="2"/>
    </row>
    <row r="36" spans="1:4" x14ac:dyDescent="0.25">
      <c r="B36" s="2"/>
    </row>
    <row r="37" spans="1:4" x14ac:dyDescent="0.25">
      <c r="B37" s="2"/>
    </row>
    <row r="38" spans="1:4" x14ac:dyDescent="0.25">
      <c r="B38" s="2"/>
    </row>
    <row r="39" spans="1:4" x14ac:dyDescent="0.25">
      <c r="B39" s="2"/>
    </row>
    <row r="41" spans="1:4" x14ac:dyDescent="0.25">
      <c r="A41" s="8" t="str">
        <f>'Cost of Ingredients'!A1</f>
        <v>Cost of ingredients</v>
      </c>
      <c r="B41" s="8" t="str">
        <f>'Cost of Ingredients'!B1</f>
        <v>Quantity</v>
      </c>
      <c r="C41" s="8" t="str">
        <f>'Cost of Ingredients'!C1</f>
        <v>Cost (23.10.2023)</v>
      </c>
      <c r="D41" s="8" t="str">
        <f>'Cost of Ingredients'!D1</f>
        <v>Unit Cost</v>
      </c>
    </row>
    <row r="42" spans="1:4" x14ac:dyDescent="0.25">
      <c r="A42" s="8" t="str">
        <f>'Cost of Ingredients'!A2</f>
        <v>Sugar</v>
      </c>
      <c r="B42" s="8">
        <f>'Cost of Ingredients'!B2</f>
        <v>12500</v>
      </c>
      <c r="C42" s="8">
        <f>'Cost of Ingredients'!C2</f>
        <v>268.5</v>
      </c>
      <c r="D42" s="8">
        <f>'Cost of Ingredients'!D2</f>
        <v>2.1479999999999999E-2</v>
      </c>
    </row>
    <row r="43" spans="1:4" x14ac:dyDescent="0.25">
      <c r="A43" s="8" t="str">
        <f>'Cost of Ingredients'!A3</f>
        <v>Flour White</v>
      </c>
      <c r="B43" s="8">
        <f>'Cost of Ingredients'!B3</f>
        <v>12500</v>
      </c>
      <c r="C43" s="8">
        <f>'Cost of Ingredients'!C3</f>
        <v>167.99</v>
      </c>
      <c r="D43" s="8">
        <f>'Cost of Ingredients'!D3</f>
        <v>1.34392E-2</v>
      </c>
    </row>
    <row r="44" spans="1:4" x14ac:dyDescent="0.25">
      <c r="A44" s="8" t="str">
        <f>'Cost of Ingredients'!A5</f>
        <v>Margerine</v>
      </c>
      <c r="B44" s="8">
        <f>'Cost of Ingredients'!B5</f>
        <v>25000</v>
      </c>
      <c r="C44" s="8">
        <f>'Cost of Ingredients'!C5</f>
        <v>750</v>
      </c>
      <c r="D44" s="8">
        <f>'Cost of Ingredients'!D5</f>
        <v>0.03</v>
      </c>
    </row>
    <row r="45" spans="1:4" x14ac:dyDescent="0.25">
      <c r="A45" s="8" t="str">
        <f>'Cost of Ingredients'!A6</f>
        <v>Creame</v>
      </c>
      <c r="B45" s="8">
        <f>'Cost of Ingredients'!B6</f>
        <v>1000</v>
      </c>
      <c r="C45" s="8">
        <f>'Cost of Ingredients'!C6</f>
        <v>43.9</v>
      </c>
      <c r="D45" s="8">
        <f>'Cost of Ingredients'!D6</f>
        <v>4.3900000000000002E-2</v>
      </c>
    </row>
    <row r="46" spans="1:4" x14ac:dyDescent="0.25">
      <c r="A46" s="8" t="str">
        <f>'Cost of Ingredients'!A7</f>
        <v>Honey</v>
      </c>
      <c r="B46" s="8">
        <f>'Cost of Ingredients'!B7</f>
        <v>1000</v>
      </c>
      <c r="C46" s="8">
        <f>'Cost of Ingredients'!C7</f>
        <v>117</v>
      </c>
      <c r="D46" s="8">
        <f>'Cost of Ingredients'!D7</f>
        <v>0.11700000000000001</v>
      </c>
    </row>
    <row r="47" spans="1:4" x14ac:dyDescent="0.25">
      <c r="A47" s="8" t="str">
        <f>'Cost of Ingredients'!A8</f>
        <v>Chocolate</v>
      </c>
      <c r="B47" s="8">
        <f>'Cost of Ingredients'!B8</f>
        <v>1000</v>
      </c>
      <c r="C47" s="8">
        <f>'Cost of Ingredients'!C8</f>
        <v>90</v>
      </c>
      <c r="D47" s="8">
        <f>'Cost of Ingredients'!D8</f>
        <v>0.09</v>
      </c>
    </row>
    <row r="48" spans="1:4" x14ac:dyDescent="0.25">
      <c r="A48" s="8" t="str">
        <f>'Cost of Ingredients'!A9</f>
        <v>Macadamia Nuts</v>
      </c>
      <c r="B48" s="8">
        <f>'Cost of Ingredients'!B9</f>
        <v>1000</v>
      </c>
      <c r="C48" s="8">
        <f>'Cost of Ingredients'!C9</f>
        <v>100.8230384954452</v>
      </c>
      <c r="D48" s="8">
        <f>'Cost of Ingredients'!D9</f>
        <v>0.1008230384954452</v>
      </c>
    </row>
    <row r="49" spans="1:4" x14ac:dyDescent="0.25">
      <c r="A49" s="8" t="str">
        <f>'Cost of Ingredients'!A10</f>
        <v>Pecan Nuts</v>
      </c>
      <c r="B49" s="8">
        <f>'Cost of Ingredients'!B10</f>
        <v>1000</v>
      </c>
      <c r="C49" s="8">
        <f>'Cost of Ingredients'!C10</f>
        <v>240</v>
      </c>
      <c r="D49" s="8">
        <f>'Cost of Ingredients'!D10</f>
        <v>0.24</v>
      </c>
    </row>
    <row r="50" spans="1:4" x14ac:dyDescent="0.25">
      <c r="A50" s="8" t="str">
        <f>'Cost of Ingredients'!A11</f>
        <v>Eggs</v>
      </c>
      <c r="B50" s="8">
        <f>'Cost of Ingredients'!B11</f>
        <v>1</v>
      </c>
      <c r="C50" s="8">
        <f>'Cost of Ingredients'!C11</f>
        <v>2.5</v>
      </c>
      <c r="D50" s="8">
        <f>'Cost of Ingredients'!D11</f>
        <v>2.5</v>
      </c>
    </row>
    <row r="51" spans="1:4" x14ac:dyDescent="0.25">
      <c r="A51" s="8" t="str">
        <f>'Cost of Ingredients'!A12</f>
        <v>Palm Oil</v>
      </c>
      <c r="B51" s="8">
        <f>'Cost of Ingredients'!B12</f>
        <v>20000</v>
      </c>
      <c r="C51" s="8">
        <f>'Cost of Ingredients'!C12</f>
        <v>520</v>
      </c>
      <c r="D51" s="8">
        <f>'Cost of Ingredients'!D12</f>
        <v>2.5999999999999999E-2</v>
      </c>
    </row>
    <row r="52" spans="1:4" x14ac:dyDescent="0.25">
      <c r="A52" s="8" t="str">
        <f>'Cost of Ingredients'!A13</f>
        <v>Six Guns Spice</v>
      </c>
      <c r="B52" s="8">
        <f>'Cost of Ingredients'!B13</f>
        <v>1000</v>
      </c>
      <c r="C52" s="8">
        <f>'Cost of Ingredients'!C13</f>
        <v>85</v>
      </c>
      <c r="D52" s="8">
        <f>'Cost of Ingredients'!D13</f>
        <v>8.5000000000000006E-2</v>
      </c>
    </row>
    <row r="53" spans="1:4" x14ac:dyDescent="0.25">
      <c r="A53" s="8" t="str">
        <f>'Cost of Ingredients'!A14</f>
        <v>Nutritional Yeast</v>
      </c>
      <c r="B53" s="8">
        <f>'Cost of Ingredients'!B14</f>
        <v>150</v>
      </c>
      <c r="C53" s="8">
        <f>'Cost of Ingredients'!C14</f>
        <v>60</v>
      </c>
      <c r="D53" s="8">
        <f>'Cost of Ingredients'!D14</f>
        <v>0.4</v>
      </c>
    </row>
    <row r="54" spans="1:4" x14ac:dyDescent="0.25">
      <c r="A54" s="8" t="str">
        <f>'Cost of Ingredients'!A15</f>
        <v>Salt and Pepper</v>
      </c>
      <c r="B54" s="8">
        <f>'Cost of Ingredients'!B15</f>
        <v>500</v>
      </c>
      <c r="C54" s="8">
        <f>'Cost of Ingredients'!C15</f>
        <v>110</v>
      </c>
      <c r="D54" s="8">
        <f>'Cost of Ingredients'!D15</f>
        <v>0.22</v>
      </c>
    </row>
    <row r="55" spans="1:4" x14ac:dyDescent="0.25">
      <c r="A55" s="8" t="str">
        <f>'Cost of Ingredients'!A16</f>
        <v>Paprika</v>
      </c>
      <c r="B55" s="8">
        <f>'Cost of Ingredients'!B16</f>
        <v>500</v>
      </c>
      <c r="C55" s="8">
        <f>'Cost of Ingredients'!C16</f>
        <v>60</v>
      </c>
      <c r="D55" s="8">
        <f>'Cost of Ingredients'!D16</f>
        <v>0.12</v>
      </c>
    </row>
    <row r="56" spans="1:4" x14ac:dyDescent="0.25">
      <c r="A56" s="8" t="str">
        <f>'Cost of Ingredients'!A17</f>
        <v>Turmeric</v>
      </c>
      <c r="B56" s="8">
        <f>'Cost of Ingredients'!B17</f>
        <v>500</v>
      </c>
      <c r="C56" s="8">
        <f>'Cost of Ingredients'!C17</f>
        <v>60</v>
      </c>
      <c r="D56" s="8">
        <f>'Cost of Ingredients'!D17</f>
        <v>0.12</v>
      </c>
    </row>
    <row r="57" spans="1:4" x14ac:dyDescent="0.25">
      <c r="A57" s="8" t="str">
        <f>'Cost of Ingredients'!A18</f>
        <v>Herbs</v>
      </c>
      <c r="B57" s="8">
        <f>'Cost of Ingredients'!B18</f>
        <v>500</v>
      </c>
      <c r="C57" s="8">
        <f>'Cost of Ingredients'!C18</f>
        <v>60</v>
      </c>
      <c r="D57" s="8">
        <f>'Cost of Ingredients'!D18</f>
        <v>0.12</v>
      </c>
    </row>
    <row r="58" spans="1:4" x14ac:dyDescent="0.25">
      <c r="A58" t="str">
        <f>'Cost of Ingredients'!A19</f>
        <v>Turmeric Root</v>
      </c>
      <c r="B58">
        <f>'Cost of Ingredients'!B19</f>
        <v>1000</v>
      </c>
      <c r="C58">
        <f>'Cost of Ingredients'!C19</f>
        <v>100</v>
      </c>
      <c r="D58">
        <f>'Cost of Ingredients'!D19</f>
        <v>0.1</v>
      </c>
    </row>
  </sheetData>
  <mergeCells count="4">
    <mergeCell ref="A18:B18"/>
    <mergeCell ref="A1:C1"/>
    <mergeCell ref="A6:D6"/>
    <mergeCell ref="A17:B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11-4608-4A8A-AE47-ED4B02800ABB}">
  <dimension ref="A1:D64"/>
  <sheetViews>
    <sheetView topLeftCell="A12" workbookViewId="0">
      <selection activeCell="D21" sqref="D21"/>
    </sheetView>
  </sheetViews>
  <sheetFormatPr defaultRowHeight="15" x14ac:dyDescent="0.25"/>
  <cols>
    <col min="1" max="1" width="35.7109375" bestFit="1" customWidth="1"/>
    <col min="2" max="2" width="18" bestFit="1" customWidth="1"/>
    <col min="3" max="3" width="16" bestFit="1" customWidth="1"/>
    <col min="4" max="4" width="22.5703125" bestFit="1" customWidth="1"/>
    <col min="5" max="6" width="12" bestFit="1" customWidth="1"/>
  </cols>
  <sheetData>
    <row r="1" spans="1:4" x14ac:dyDescent="0.25">
      <c r="A1" t="s">
        <v>156</v>
      </c>
    </row>
    <row r="2" spans="1:4" x14ac:dyDescent="0.25">
      <c r="A2" t="s">
        <v>43</v>
      </c>
      <c r="B2" t="s">
        <v>40</v>
      </c>
      <c r="C2" t="s">
        <v>42</v>
      </c>
    </row>
    <row r="3" spans="1:4" x14ac:dyDescent="0.25">
      <c r="A3">
        <f>Overheads!$D$32</f>
        <v>236.36363636363637</v>
      </c>
      <c r="B3">
        <v>205</v>
      </c>
      <c r="C3">
        <f>SUM(A3:B3)</f>
        <v>441.36363636363637</v>
      </c>
    </row>
    <row r="8" spans="1:4" x14ac:dyDescent="0.25">
      <c r="A8" t="s">
        <v>80</v>
      </c>
      <c r="B8" t="s">
        <v>81</v>
      </c>
      <c r="C8" t="s">
        <v>101</v>
      </c>
      <c r="D8" t="s">
        <v>100</v>
      </c>
    </row>
    <row r="9" spans="1:4" x14ac:dyDescent="0.25">
      <c r="A9" t="s">
        <v>50</v>
      </c>
      <c r="B9">
        <v>5000</v>
      </c>
      <c r="C9">
        <f>B9*$D$54</f>
        <v>504.115192477226</v>
      </c>
      <c r="D9" s="2">
        <f>SUM(C9/5)</f>
        <v>100.8230384954452</v>
      </c>
    </row>
    <row r="10" spans="1:4" x14ac:dyDescent="0.25">
      <c r="A10" t="s">
        <v>133</v>
      </c>
      <c r="B10">
        <f>25*5</f>
        <v>125</v>
      </c>
      <c r="C10">
        <f>B10*D59</f>
        <v>50</v>
      </c>
      <c r="D10">
        <f>C10/5</f>
        <v>10</v>
      </c>
    </row>
    <row r="11" spans="1:4" x14ac:dyDescent="0.25">
      <c r="A11" t="s">
        <v>134</v>
      </c>
      <c r="B11">
        <f>31*5</f>
        <v>155</v>
      </c>
      <c r="C11">
        <f>B11*D60</f>
        <v>34.1</v>
      </c>
      <c r="D11">
        <f t="shared" ref="D11:D13" si="0">C11/5</f>
        <v>6.82</v>
      </c>
    </row>
    <row r="12" spans="1:4" x14ac:dyDescent="0.25">
      <c r="A12" t="s">
        <v>171</v>
      </c>
      <c r="B12">
        <f>6*5</f>
        <v>30</v>
      </c>
      <c r="C12">
        <f>B12*D61</f>
        <v>3.5999999999999996</v>
      </c>
      <c r="D12">
        <f t="shared" si="0"/>
        <v>0.72</v>
      </c>
    </row>
    <row r="13" spans="1:4" x14ac:dyDescent="0.25">
      <c r="A13" t="s">
        <v>172</v>
      </c>
      <c r="B13">
        <f>12*5</f>
        <v>60</v>
      </c>
      <c r="C13">
        <f>B13*D61</f>
        <v>7.1999999999999993</v>
      </c>
      <c r="D13">
        <f t="shared" si="0"/>
        <v>1.44</v>
      </c>
    </row>
    <row r="14" spans="1:4" x14ac:dyDescent="0.25">
      <c r="A14" t="s">
        <v>17</v>
      </c>
      <c r="B14">
        <f>SUM(B9:B10)</f>
        <v>5125</v>
      </c>
      <c r="C14">
        <f>SUM(C9:C12)</f>
        <v>591.81519247722599</v>
      </c>
      <c r="D14" s="2">
        <f>SUM(D9:D13)</f>
        <v>119.80303849544521</v>
      </c>
    </row>
    <row r="17" spans="1:3" x14ac:dyDescent="0.25">
      <c r="A17" t="s">
        <v>102</v>
      </c>
      <c r="B17">
        <f>C3</f>
        <v>441.36363636363637</v>
      </c>
    </row>
    <row r="18" spans="1:3" x14ac:dyDescent="0.25">
      <c r="A18" t="s">
        <v>52</v>
      </c>
      <c r="B18">
        <f>SUM(C14)</f>
        <v>591.81519247722599</v>
      </c>
    </row>
    <row r="20" spans="1:3" x14ac:dyDescent="0.25">
      <c r="A20" t="s">
        <v>103</v>
      </c>
      <c r="B20">
        <f>SUM(B17:B18)/5</f>
        <v>206.63576576817249</v>
      </c>
    </row>
    <row r="23" spans="1:3" x14ac:dyDescent="0.25">
      <c r="B23" t="s">
        <v>142</v>
      </c>
      <c r="C23" t="s">
        <v>173</v>
      </c>
    </row>
    <row r="24" spans="1:3" x14ac:dyDescent="0.25">
      <c r="A24" t="s">
        <v>104</v>
      </c>
      <c r="B24">
        <v>6</v>
      </c>
      <c r="C24">
        <v>4.5</v>
      </c>
    </row>
    <row r="25" spans="1:3" x14ac:dyDescent="0.25">
      <c r="A25" t="s">
        <v>105</v>
      </c>
      <c r="B25">
        <v>1.5</v>
      </c>
      <c r="C25">
        <v>1.5</v>
      </c>
    </row>
    <row r="26" spans="1:3" x14ac:dyDescent="0.25">
      <c r="A26" t="s">
        <v>95</v>
      </c>
      <c r="B26">
        <f>SUM(18/20)</f>
        <v>0.9</v>
      </c>
      <c r="C26">
        <f>SUM(18/20)</f>
        <v>0.9</v>
      </c>
    </row>
    <row r="35" spans="1:4" x14ac:dyDescent="0.25">
      <c r="A35" t="s">
        <v>42</v>
      </c>
      <c r="B35">
        <f>SUM(($B$20*0.2)+B24+B25+B26)</f>
        <v>49.727153153634497</v>
      </c>
      <c r="C35">
        <f>SUM(($B$20*0.055)+C24+C25+C26)</f>
        <v>18.264967117249483</v>
      </c>
    </row>
    <row r="36" spans="1:4" x14ac:dyDescent="0.25">
      <c r="A36" t="s">
        <v>92</v>
      </c>
      <c r="B36">
        <f>SUM((B35*0.3)+B35)</f>
        <v>64.645299099724838</v>
      </c>
      <c r="C36">
        <f>SUM((C35*0.3)+C35)</f>
        <v>23.744457252424329</v>
      </c>
    </row>
    <row r="37" spans="1:4" x14ac:dyDescent="0.25">
      <c r="A37" t="s">
        <v>93</v>
      </c>
      <c r="B37">
        <f>((B36*0.15)+B36)</f>
        <v>74.342093964683556</v>
      </c>
      <c r="C37">
        <f t="shared" ref="C37" si="1">((C36*0.15)+C36)</f>
        <v>27.306125840287979</v>
      </c>
    </row>
    <row r="47" spans="1:4" x14ac:dyDescent="0.25">
      <c r="A47" s="8" t="str">
        <f>'Cost of Ingredients'!A1</f>
        <v>Cost of ingredients</v>
      </c>
      <c r="B47" s="8" t="str">
        <f>'Cost of Ingredients'!B1</f>
        <v>Quantity</v>
      </c>
      <c r="C47" s="8" t="str">
        <f>'Cost of Ingredients'!C1</f>
        <v>Cost (23.10.2023)</v>
      </c>
      <c r="D47" s="8" t="str">
        <f>'Cost of Ingredients'!D1</f>
        <v>Unit Cost</v>
      </c>
    </row>
    <row r="48" spans="1:4" x14ac:dyDescent="0.25">
      <c r="A48" s="8" t="str">
        <f>'Cost of Ingredients'!A2</f>
        <v>Sugar</v>
      </c>
      <c r="B48" s="8">
        <f>'Cost of Ingredients'!B2</f>
        <v>12500</v>
      </c>
      <c r="C48" s="8">
        <f>'Cost of Ingredients'!C2</f>
        <v>268.5</v>
      </c>
      <c r="D48" s="8">
        <f>'Cost of Ingredients'!D2</f>
        <v>2.1479999999999999E-2</v>
      </c>
    </row>
    <row r="49" spans="1:4" x14ac:dyDescent="0.25">
      <c r="A49" s="8" t="str">
        <f>'Cost of Ingredients'!A3</f>
        <v>Flour White</v>
      </c>
      <c r="B49" s="8">
        <f>'Cost of Ingredients'!B3</f>
        <v>12500</v>
      </c>
      <c r="C49" s="8">
        <f>'Cost of Ingredients'!C3</f>
        <v>167.99</v>
      </c>
      <c r="D49" s="8">
        <f>'Cost of Ingredients'!D3</f>
        <v>1.34392E-2</v>
      </c>
    </row>
    <row r="50" spans="1:4" x14ac:dyDescent="0.25">
      <c r="A50" s="8" t="str">
        <f>'Cost of Ingredients'!A5</f>
        <v>Margerine</v>
      </c>
      <c r="B50" s="8">
        <f>'Cost of Ingredients'!B5</f>
        <v>25000</v>
      </c>
      <c r="C50" s="8">
        <f>'Cost of Ingredients'!C5</f>
        <v>750</v>
      </c>
      <c r="D50" s="8">
        <f>'Cost of Ingredients'!D5</f>
        <v>0.03</v>
      </c>
    </row>
    <row r="51" spans="1:4" x14ac:dyDescent="0.25">
      <c r="A51" s="8" t="str">
        <f>'Cost of Ingredients'!A6</f>
        <v>Creame</v>
      </c>
      <c r="B51" s="8">
        <f>'Cost of Ingredients'!B6</f>
        <v>1000</v>
      </c>
      <c r="C51" s="8">
        <f>'Cost of Ingredients'!C6</f>
        <v>43.9</v>
      </c>
      <c r="D51" s="8">
        <f>'Cost of Ingredients'!D6</f>
        <v>4.3900000000000002E-2</v>
      </c>
    </row>
    <row r="52" spans="1:4" x14ac:dyDescent="0.25">
      <c r="A52" s="8" t="str">
        <f>'Cost of Ingredients'!A7</f>
        <v>Honey</v>
      </c>
      <c r="B52" s="8">
        <f>'Cost of Ingredients'!B7</f>
        <v>1000</v>
      </c>
      <c r="C52" s="8">
        <f>'Cost of Ingredients'!C7</f>
        <v>117</v>
      </c>
      <c r="D52" s="8">
        <f>'Cost of Ingredients'!D7</f>
        <v>0.11700000000000001</v>
      </c>
    </row>
    <row r="53" spans="1:4" x14ac:dyDescent="0.25">
      <c r="A53" s="8" t="str">
        <f>'Cost of Ingredients'!A8</f>
        <v>Chocolate</v>
      </c>
      <c r="B53" s="8">
        <f>'Cost of Ingredients'!B8</f>
        <v>1000</v>
      </c>
      <c r="C53" s="8">
        <f>'Cost of Ingredients'!C8</f>
        <v>90</v>
      </c>
      <c r="D53" s="8">
        <f>'Cost of Ingredients'!D8</f>
        <v>0.09</v>
      </c>
    </row>
    <row r="54" spans="1:4" x14ac:dyDescent="0.25">
      <c r="A54" s="8" t="str">
        <f>'Cost of Ingredients'!A9</f>
        <v>Macadamia Nuts</v>
      </c>
      <c r="B54" s="8">
        <f>'Cost of Ingredients'!B9</f>
        <v>1000</v>
      </c>
      <c r="C54" s="8">
        <f>'Cost of Ingredients'!C9</f>
        <v>100.8230384954452</v>
      </c>
      <c r="D54" s="8">
        <f>'Cost of Ingredients'!D9</f>
        <v>0.1008230384954452</v>
      </c>
    </row>
    <row r="55" spans="1:4" x14ac:dyDescent="0.25">
      <c r="A55" s="8" t="str">
        <f>'Cost of Ingredients'!A10</f>
        <v>Pecan Nuts</v>
      </c>
      <c r="B55" s="8">
        <f>'Cost of Ingredients'!B10</f>
        <v>1000</v>
      </c>
      <c r="C55" s="8">
        <f>'Cost of Ingredients'!C10</f>
        <v>240</v>
      </c>
      <c r="D55" s="8">
        <f>'Cost of Ingredients'!D10</f>
        <v>0.24</v>
      </c>
    </row>
    <row r="56" spans="1:4" x14ac:dyDescent="0.25">
      <c r="A56" s="8" t="str">
        <f>'Cost of Ingredients'!A11</f>
        <v>Eggs</v>
      </c>
      <c r="B56" s="8">
        <f>'Cost of Ingredients'!B11</f>
        <v>1</v>
      </c>
      <c r="C56" s="8">
        <f>'Cost of Ingredients'!C11</f>
        <v>2.5</v>
      </c>
      <c r="D56" s="8">
        <f>'Cost of Ingredients'!D11</f>
        <v>2.5</v>
      </c>
    </row>
    <row r="57" spans="1:4" x14ac:dyDescent="0.25">
      <c r="A57" s="8" t="str">
        <f>'Cost of Ingredients'!A12</f>
        <v>Palm Oil</v>
      </c>
      <c r="B57" s="8">
        <f>'Cost of Ingredients'!B12</f>
        <v>20000</v>
      </c>
      <c r="C57" s="8">
        <f>'Cost of Ingredients'!C12</f>
        <v>520</v>
      </c>
      <c r="D57" s="8">
        <f>'Cost of Ingredients'!D12</f>
        <v>2.5999999999999999E-2</v>
      </c>
    </row>
    <row r="58" spans="1:4" x14ac:dyDescent="0.25">
      <c r="A58" s="8" t="str">
        <f>'Cost of Ingredients'!A13</f>
        <v>Six Guns Spice</v>
      </c>
      <c r="B58" s="8">
        <f>'Cost of Ingredients'!B13</f>
        <v>1000</v>
      </c>
      <c r="C58" s="8">
        <f>'Cost of Ingredients'!C13</f>
        <v>85</v>
      </c>
      <c r="D58" s="8">
        <f>'Cost of Ingredients'!D13</f>
        <v>8.5000000000000006E-2</v>
      </c>
    </row>
    <row r="59" spans="1:4" x14ac:dyDescent="0.25">
      <c r="A59" s="8" t="str">
        <f>'Cost of Ingredients'!A14</f>
        <v>Nutritional Yeast</v>
      </c>
      <c r="B59" s="8">
        <f>'Cost of Ingredients'!B14</f>
        <v>150</v>
      </c>
      <c r="C59" s="8">
        <f>'Cost of Ingredients'!C14</f>
        <v>60</v>
      </c>
      <c r="D59" s="8">
        <f>'Cost of Ingredients'!D14</f>
        <v>0.4</v>
      </c>
    </row>
    <row r="60" spans="1:4" x14ac:dyDescent="0.25">
      <c r="A60" s="8" t="str">
        <f>'Cost of Ingredients'!A15</f>
        <v>Salt and Pepper</v>
      </c>
      <c r="B60" s="8">
        <f>'Cost of Ingredients'!B15</f>
        <v>500</v>
      </c>
      <c r="C60" s="8">
        <f>'Cost of Ingredients'!C15</f>
        <v>110</v>
      </c>
      <c r="D60" s="8">
        <f>'Cost of Ingredients'!D15</f>
        <v>0.22</v>
      </c>
    </row>
    <row r="61" spans="1:4" x14ac:dyDescent="0.25">
      <c r="A61" s="8" t="str">
        <f>'Cost of Ingredients'!A16</f>
        <v>Paprika</v>
      </c>
      <c r="B61" s="8">
        <f>'Cost of Ingredients'!B16</f>
        <v>500</v>
      </c>
      <c r="C61" s="8">
        <f>'Cost of Ingredients'!C16</f>
        <v>60</v>
      </c>
      <c r="D61" s="8">
        <f>'Cost of Ingredients'!D16</f>
        <v>0.12</v>
      </c>
    </row>
    <row r="62" spans="1:4" x14ac:dyDescent="0.25">
      <c r="A62" s="8" t="str">
        <f>'Cost of Ingredients'!A17</f>
        <v>Turmeric</v>
      </c>
      <c r="B62" s="8">
        <f>'Cost of Ingredients'!B17</f>
        <v>500</v>
      </c>
      <c r="C62" s="8">
        <f>'Cost of Ingredients'!C17</f>
        <v>60</v>
      </c>
      <c r="D62" s="8">
        <f>'Cost of Ingredients'!D17</f>
        <v>0.12</v>
      </c>
    </row>
    <row r="63" spans="1:4" x14ac:dyDescent="0.25">
      <c r="A63" s="8" t="str">
        <f>'Cost of Ingredients'!A18</f>
        <v>Herbs</v>
      </c>
      <c r="B63" s="8">
        <f>'Cost of Ingredients'!B18</f>
        <v>500</v>
      </c>
      <c r="C63" s="8">
        <f>'Cost of Ingredients'!C18</f>
        <v>60</v>
      </c>
      <c r="D63" s="8">
        <f>'Cost of Ingredients'!D18</f>
        <v>0.12</v>
      </c>
    </row>
    <row r="64" spans="1:4" x14ac:dyDescent="0.25">
      <c r="A64" t="str">
        <f>'Cost of Ingredients'!A19</f>
        <v>Turmeric Root</v>
      </c>
      <c r="B64">
        <f>'Cost of Ingredients'!B19</f>
        <v>1000</v>
      </c>
      <c r="C64">
        <f>'Cost of Ingredients'!C19</f>
        <v>100</v>
      </c>
      <c r="D64">
        <f>'Cost of Ingredients'!D19</f>
        <v>0.1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F995-5492-46DE-A1AF-287BE1F4C3DA}">
  <dimension ref="A1:D67"/>
  <sheetViews>
    <sheetView topLeftCell="A7" workbookViewId="0">
      <selection activeCell="C29" sqref="C29"/>
    </sheetView>
  </sheetViews>
  <sheetFormatPr defaultRowHeight="15" x14ac:dyDescent="0.25"/>
  <cols>
    <col min="1" max="1" width="35.7109375" bestFit="1" customWidth="1"/>
    <col min="2" max="2" width="18" bestFit="1" customWidth="1"/>
    <col min="3" max="3" width="16" bestFit="1" customWidth="1"/>
    <col min="4" max="4" width="22.5703125" bestFit="1" customWidth="1"/>
    <col min="5" max="6" width="12" bestFit="1" customWidth="1"/>
  </cols>
  <sheetData>
    <row r="1" spans="1:3" x14ac:dyDescent="0.25">
      <c r="A1" t="s">
        <v>98</v>
      </c>
    </row>
    <row r="2" spans="1:3" x14ac:dyDescent="0.25">
      <c r="A2" t="s">
        <v>43</v>
      </c>
      <c r="B2" t="s">
        <v>40</v>
      </c>
      <c r="C2" t="s">
        <v>42</v>
      </c>
    </row>
    <row r="3" spans="1:3" x14ac:dyDescent="0.25">
      <c r="A3">
        <f>Overheads!$D$32</f>
        <v>236.36363636363637</v>
      </c>
      <c r="B3">
        <v>205</v>
      </c>
      <c r="C3">
        <f>SUM(A3:B3)</f>
        <v>441.36363636363637</v>
      </c>
    </row>
    <row r="7" spans="1:3" x14ac:dyDescent="0.25">
      <c r="B7" t="s">
        <v>190</v>
      </c>
    </row>
    <row r="8" spans="1:3" x14ac:dyDescent="0.25">
      <c r="A8" t="s">
        <v>80</v>
      </c>
      <c r="B8" t="s">
        <v>81</v>
      </c>
      <c r="C8" t="s">
        <v>101</v>
      </c>
    </row>
    <row r="9" spans="1:3" x14ac:dyDescent="0.25">
      <c r="A9" t="s">
        <v>44</v>
      </c>
      <c r="B9">
        <v>4000</v>
      </c>
      <c r="C9">
        <f>$D$51*B9</f>
        <v>85.92</v>
      </c>
    </row>
    <row r="10" spans="1:3" x14ac:dyDescent="0.25">
      <c r="A10" t="s">
        <v>136</v>
      </c>
      <c r="B10">
        <v>1600</v>
      </c>
      <c r="C10">
        <f>B10*$D$67</f>
        <v>160</v>
      </c>
    </row>
    <row r="11" spans="1:3" x14ac:dyDescent="0.25">
      <c r="A11" t="s">
        <v>192</v>
      </c>
      <c r="B11">
        <v>2</v>
      </c>
      <c r="C11">
        <v>10</v>
      </c>
    </row>
    <row r="12" spans="1:3" x14ac:dyDescent="0.25">
      <c r="A12" t="s">
        <v>193</v>
      </c>
      <c r="B12">
        <v>10</v>
      </c>
      <c r="C12">
        <v>10</v>
      </c>
    </row>
    <row r="13" spans="1:3" x14ac:dyDescent="0.25">
      <c r="A13" t="s">
        <v>194</v>
      </c>
      <c r="B13">
        <v>15</v>
      </c>
      <c r="C13">
        <v>10</v>
      </c>
    </row>
    <row r="14" spans="1:3" x14ac:dyDescent="0.25">
      <c r="A14" t="s">
        <v>195</v>
      </c>
      <c r="B14">
        <v>1</v>
      </c>
      <c r="C14">
        <v>5</v>
      </c>
    </row>
    <row r="16" spans="1:3" x14ac:dyDescent="0.25">
      <c r="A16" t="s">
        <v>17</v>
      </c>
      <c r="B16">
        <f>SUM(B9:B10)</f>
        <v>5600</v>
      </c>
      <c r="C16">
        <f>SUM(C9:C14)</f>
        <v>280.92</v>
      </c>
    </row>
    <row r="18" spans="1:4" x14ac:dyDescent="0.25">
      <c r="B18" t="s">
        <v>266</v>
      </c>
      <c r="C18" t="s">
        <v>265</v>
      </c>
    </row>
    <row r="20" spans="1:4" x14ac:dyDescent="0.25">
      <c r="A20" t="s">
        <v>102</v>
      </c>
      <c r="B20">
        <f>C3</f>
        <v>441.36363636363637</v>
      </c>
      <c r="C20">
        <f>C3</f>
        <v>441.36363636363637</v>
      </c>
    </row>
    <row r="21" spans="1:4" x14ac:dyDescent="0.25">
      <c r="A21" t="s">
        <v>52</v>
      </c>
      <c r="B21">
        <f>SUM(C16)</f>
        <v>280.92</v>
      </c>
      <c r="C21">
        <f>SUM(C16*2)</f>
        <v>561.84</v>
      </c>
    </row>
    <row r="23" spans="1:4" x14ac:dyDescent="0.25">
      <c r="A23" t="s">
        <v>103</v>
      </c>
      <c r="B23">
        <f>SUM(B20:B21)/11</f>
        <v>65.662148760330581</v>
      </c>
      <c r="C23">
        <f>SUM(C20:C21)/30</f>
        <v>33.440121212121213</v>
      </c>
      <c r="D23">
        <f>SUM(B20:B21)/22</f>
        <v>32.83107438016529</v>
      </c>
    </row>
    <row r="27" spans="1:4" x14ac:dyDescent="0.25">
      <c r="B27" t="s">
        <v>196</v>
      </c>
      <c r="C27" t="s">
        <v>264</v>
      </c>
      <c r="D27" t="s">
        <v>202</v>
      </c>
    </row>
    <row r="28" spans="1:4" x14ac:dyDescent="0.25">
      <c r="A28" t="s">
        <v>197</v>
      </c>
      <c r="B28">
        <v>15.5</v>
      </c>
      <c r="C28">
        <v>11.5</v>
      </c>
      <c r="D28">
        <v>13</v>
      </c>
    </row>
    <row r="29" spans="1:4" x14ac:dyDescent="0.25">
      <c r="A29" t="s">
        <v>105</v>
      </c>
      <c r="B29">
        <v>2</v>
      </c>
      <c r="C29">
        <v>2</v>
      </c>
      <c r="D29">
        <v>2</v>
      </c>
    </row>
    <row r="39" spans="1:4" x14ac:dyDescent="0.25">
      <c r="A39" t="s">
        <v>42</v>
      </c>
      <c r="B39">
        <f>SUM($B$23+B28+B29+B30)</f>
        <v>83.162148760330581</v>
      </c>
      <c r="C39">
        <f>SUM($C$23+C28+C29+C30)</f>
        <v>46.940121212121213</v>
      </c>
      <c r="D39">
        <f>SUM($D$23+D28+D29+D30)</f>
        <v>47.83107438016529</v>
      </c>
    </row>
    <row r="40" spans="1:4" x14ac:dyDescent="0.25">
      <c r="A40" t="s">
        <v>92</v>
      </c>
      <c r="B40">
        <f>SUM((B39*0.3)+B39)</f>
        <v>108.11079338842976</v>
      </c>
      <c r="C40">
        <f>SUM((C39*0.3)+C39)</f>
        <v>61.022157575757575</v>
      </c>
      <c r="D40">
        <f>SUM((D39*0.3)+D39)</f>
        <v>62.180396694214878</v>
      </c>
    </row>
    <row r="41" spans="1:4" x14ac:dyDescent="0.25">
      <c r="A41" t="s">
        <v>93</v>
      </c>
      <c r="B41">
        <f>((B40*0.15)+B40)</f>
        <v>124.32741239669421</v>
      </c>
      <c r="C41">
        <f>((C40*0.15)+C40)</f>
        <v>70.175481212121213</v>
      </c>
      <c r="D41">
        <f>((D40*0.15)+D40)</f>
        <v>71.507456198347114</v>
      </c>
    </row>
    <row r="50" spans="1:4" x14ac:dyDescent="0.25">
      <c r="A50" t="str">
        <f>'Cost of Ingredients'!A1</f>
        <v>Cost of ingredients</v>
      </c>
      <c r="B50" t="str">
        <f>'Cost of Ingredients'!B1</f>
        <v>Quantity</v>
      </c>
      <c r="C50" t="str">
        <f>'Cost of Ingredients'!C1</f>
        <v>Cost (23.10.2023)</v>
      </c>
      <c r="D50" t="str">
        <f>'Cost of Ingredients'!D1</f>
        <v>Unit Cost</v>
      </c>
    </row>
    <row r="51" spans="1:4" x14ac:dyDescent="0.25">
      <c r="A51" t="str">
        <f>'Cost of Ingredients'!A2</f>
        <v>Sugar</v>
      </c>
      <c r="B51">
        <f>'Cost of Ingredients'!B2</f>
        <v>12500</v>
      </c>
      <c r="C51">
        <f>'Cost of Ingredients'!C2</f>
        <v>268.5</v>
      </c>
      <c r="D51">
        <f>'Cost of Ingredients'!D2</f>
        <v>2.1479999999999999E-2</v>
      </c>
    </row>
    <row r="52" spans="1:4" x14ac:dyDescent="0.25">
      <c r="A52" t="str">
        <f>'Cost of Ingredients'!A3</f>
        <v>Flour White</v>
      </c>
      <c r="B52">
        <f>'Cost of Ingredients'!B3</f>
        <v>12500</v>
      </c>
      <c r="C52">
        <f>'Cost of Ingredients'!C3</f>
        <v>167.99</v>
      </c>
      <c r="D52">
        <f>'Cost of Ingredients'!D3</f>
        <v>1.34392E-2</v>
      </c>
    </row>
    <row r="53" spans="1:4" x14ac:dyDescent="0.25">
      <c r="A53" t="str">
        <f>'Cost of Ingredients'!A5</f>
        <v>Margerine</v>
      </c>
      <c r="B53">
        <f>'Cost of Ingredients'!B5</f>
        <v>25000</v>
      </c>
      <c r="C53">
        <f>'Cost of Ingredients'!C5</f>
        <v>750</v>
      </c>
      <c r="D53">
        <f>'Cost of Ingredients'!D5</f>
        <v>0.03</v>
      </c>
    </row>
    <row r="54" spans="1:4" x14ac:dyDescent="0.25">
      <c r="A54" t="str">
        <f>'Cost of Ingredients'!A6</f>
        <v>Creame</v>
      </c>
      <c r="B54">
        <f>'Cost of Ingredients'!B6</f>
        <v>1000</v>
      </c>
      <c r="C54">
        <f>'Cost of Ingredients'!C6</f>
        <v>43.9</v>
      </c>
      <c r="D54">
        <f>'Cost of Ingredients'!D6</f>
        <v>4.3900000000000002E-2</v>
      </c>
    </row>
    <row r="55" spans="1:4" x14ac:dyDescent="0.25">
      <c r="A55" t="str">
        <f>'Cost of Ingredients'!A7</f>
        <v>Honey</v>
      </c>
      <c r="B55">
        <f>'Cost of Ingredients'!B7</f>
        <v>1000</v>
      </c>
      <c r="C55">
        <f>'Cost of Ingredients'!C7</f>
        <v>117</v>
      </c>
      <c r="D55">
        <f>'Cost of Ingredients'!D7</f>
        <v>0.11700000000000001</v>
      </c>
    </row>
    <row r="56" spans="1:4" x14ac:dyDescent="0.25">
      <c r="A56" t="str">
        <f>'Cost of Ingredients'!A8</f>
        <v>Chocolate</v>
      </c>
      <c r="B56">
        <f>'Cost of Ingredients'!B8</f>
        <v>1000</v>
      </c>
      <c r="C56">
        <f>'Cost of Ingredients'!C8</f>
        <v>90</v>
      </c>
      <c r="D56">
        <f>'Cost of Ingredients'!D8</f>
        <v>0.09</v>
      </c>
    </row>
    <row r="57" spans="1:4" x14ac:dyDescent="0.25">
      <c r="A57" t="str">
        <f>'Cost of Ingredients'!A9</f>
        <v>Macadamia Nuts</v>
      </c>
      <c r="B57">
        <f>'Cost of Ingredients'!B9</f>
        <v>1000</v>
      </c>
      <c r="C57">
        <f>'Cost of Ingredients'!C9</f>
        <v>100.8230384954452</v>
      </c>
      <c r="D57">
        <f>'Cost of Ingredients'!D9</f>
        <v>0.1008230384954452</v>
      </c>
    </row>
    <row r="58" spans="1:4" x14ac:dyDescent="0.25">
      <c r="A58" t="str">
        <f>'Cost of Ingredients'!A10</f>
        <v>Pecan Nuts</v>
      </c>
      <c r="B58">
        <f>'Cost of Ingredients'!B10</f>
        <v>1000</v>
      </c>
      <c r="C58">
        <f>'Cost of Ingredients'!C10</f>
        <v>240</v>
      </c>
      <c r="D58">
        <f>'Cost of Ingredients'!D10</f>
        <v>0.24</v>
      </c>
    </row>
    <row r="59" spans="1:4" x14ac:dyDescent="0.25">
      <c r="A59" t="str">
        <f>'Cost of Ingredients'!A11</f>
        <v>Eggs</v>
      </c>
      <c r="B59">
        <f>'Cost of Ingredients'!B11</f>
        <v>1</v>
      </c>
      <c r="C59">
        <f>'Cost of Ingredients'!C11</f>
        <v>2.5</v>
      </c>
      <c r="D59">
        <f>'Cost of Ingredients'!D11</f>
        <v>2.5</v>
      </c>
    </row>
    <row r="60" spans="1:4" x14ac:dyDescent="0.25">
      <c r="A60" t="str">
        <f>'Cost of Ingredients'!A12</f>
        <v>Palm Oil</v>
      </c>
      <c r="B60">
        <f>'Cost of Ingredients'!B12</f>
        <v>20000</v>
      </c>
      <c r="C60">
        <f>'Cost of Ingredients'!C12</f>
        <v>520</v>
      </c>
      <c r="D60">
        <f>'Cost of Ingredients'!D12</f>
        <v>2.5999999999999999E-2</v>
      </c>
    </row>
    <row r="61" spans="1:4" x14ac:dyDescent="0.25">
      <c r="A61" t="str">
        <f>'Cost of Ingredients'!A13</f>
        <v>Six Guns Spice</v>
      </c>
      <c r="B61">
        <f>'Cost of Ingredients'!B13</f>
        <v>1000</v>
      </c>
      <c r="C61">
        <f>'Cost of Ingredients'!C13</f>
        <v>85</v>
      </c>
      <c r="D61">
        <f>'Cost of Ingredients'!D13</f>
        <v>8.5000000000000006E-2</v>
      </c>
    </row>
    <row r="62" spans="1:4" x14ac:dyDescent="0.25">
      <c r="A62" t="str">
        <f>'Cost of Ingredients'!A14</f>
        <v>Nutritional Yeast</v>
      </c>
      <c r="B62">
        <f>'Cost of Ingredients'!B14</f>
        <v>150</v>
      </c>
      <c r="C62">
        <f>'Cost of Ingredients'!C14</f>
        <v>60</v>
      </c>
      <c r="D62">
        <f>'Cost of Ingredients'!D14</f>
        <v>0.4</v>
      </c>
    </row>
    <row r="63" spans="1:4" x14ac:dyDescent="0.25">
      <c r="A63" t="str">
        <f>'Cost of Ingredients'!A15</f>
        <v>Salt and Pepper</v>
      </c>
      <c r="B63">
        <f>'Cost of Ingredients'!B15</f>
        <v>500</v>
      </c>
      <c r="C63">
        <f>'Cost of Ingredients'!C15</f>
        <v>110</v>
      </c>
      <c r="D63">
        <f>'Cost of Ingredients'!D15</f>
        <v>0.22</v>
      </c>
    </row>
    <row r="64" spans="1:4" x14ac:dyDescent="0.25">
      <c r="A64" t="str">
        <f>'Cost of Ingredients'!A16</f>
        <v>Paprika</v>
      </c>
      <c r="B64">
        <f>'Cost of Ingredients'!B16</f>
        <v>500</v>
      </c>
      <c r="C64">
        <f>'Cost of Ingredients'!C16</f>
        <v>60</v>
      </c>
      <c r="D64">
        <f>'Cost of Ingredients'!D16</f>
        <v>0.12</v>
      </c>
    </row>
    <row r="65" spans="1:4" x14ac:dyDescent="0.25">
      <c r="A65" t="str">
        <f>'Cost of Ingredients'!A17</f>
        <v>Turmeric</v>
      </c>
      <c r="B65">
        <f>'Cost of Ingredients'!B17</f>
        <v>500</v>
      </c>
      <c r="C65">
        <f>'Cost of Ingredients'!C17</f>
        <v>60</v>
      </c>
      <c r="D65">
        <f>'Cost of Ingredients'!D17</f>
        <v>0.12</v>
      </c>
    </row>
    <row r="66" spans="1:4" x14ac:dyDescent="0.25">
      <c r="A66" t="str">
        <f>'Cost of Ingredients'!A18</f>
        <v>Herbs</v>
      </c>
      <c r="B66">
        <f>'Cost of Ingredients'!B18</f>
        <v>500</v>
      </c>
      <c r="C66">
        <f>'Cost of Ingredients'!C18</f>
        <v>60</v>
      </c>
      <c r="D66">
        <f>'Cost of Ingredients'!D18</f>
        <v>0.12</v>
      </c>
    </row>
    <row r="67" spans="1:4" x14ac:dyDescent="0.25">
      <c r="A67" t="str">
        <f>'Cost of Ingredients'!A19</f>
        <v>Turmeric Root</v>
      </c>
      <c r="B67">
        <f>'Cost of Ingredients'!B19</f>
        <v>1000</v>
      </c>
      <c r="C67">
        <f>'Cost of Ingredients'!C19</f>
        <v>100</v>
      </c>
      <c r="D67">
        <f>'Cost of Ingredients'!D19</f>
        <v>0.1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F2D1-C891-448B-9F1E-46E2227B4FCC}">
  <dimension ref="A1:T25"/>
  <sheetViews>
    <sheetView workbookViewId="0">
      <selection activeCell="G33" sqref="G33"/>
    </sheetView>
  </sheetViews>
  <sheetFormatPr defaultRowHeight="15" x14ac:dyDescent="0.25"/>
  <cols>
    <col min="1" max="1" width="20.5703125" bestFit="1" customWidth="1"/>
    <col min="2" max="2" width="15.7109375" bestFit="1" customWidth="1"/>
    <col min="3" max="3" width="12.28515625" bestFit="1" customWidth="1"/>
    <col min="4" max="4" width="16.42578125" bestFit="1" customWidth="1"/>
    <col min="5" max="5" width="12.42578125" bestFit="1" customWidth="1"/>
    <col min="6" max="6" width="17.28515625" bestFit="1" customWidth="1"/>
    <col min="7" max="7" width="13.28515625" bestFit="1" customWidth="1"/>
    <col min="8" max="8" width="17.42578125" bestFit="1" customWidth="1"/>
    <col min="9" max="9" width="13.42578125" bestFit="1" customWidth="1"/>
    <col min="10" max="10" width="19.7109375" bestFit="1" customWidth="1"/>
    <col min="11" max="11" width="14.42578125" bestFit="1" customWidth="1"/>
    <col min="12" max="12" width="17.42578125" bestFit="1" customWidth="1"/>
    <col min="13" max="13" width="13.42578125" bestFit="1" customWidth="1"/>
    <col min="14" max="14" width="20.5703125" bestFit="1" customWidth="1"/>
    <col min="15" max="15" width="13.5703125" customWidth="1"/>
    <col min="16" max="16" width="21.7109375" bestFit="1" customWidth="1"/>
    <col min="17" max="17" width="14.140625" bestFit="1" customWidth="1"/>
    <col min="18" max="18" width="9.7109375" bestFit="1" customWidth="1"/>
    <col min="19" max="19" width="14.7109375" bestFit="1" customWidth="1"/>
    <col min="20" max="20" width="15.42578125" bestFit="1" customWidth="1"/>
  </cols>
  <sheetData>
    <row r="1" spans="1:20" x14ac:dyDescent="0.25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30" x14ac:dyDescent="0.25">
      <c r="A2" s="8" t="s">
        <v>65</v>
      </c>
      <c r="B2" s="8" t="s">
        <v>39</v>
      </c>
      <c r="C2" s="8" t="s">
        <v>38</v>
      </c>
      <c r="D2" s="8" t="s">
        <v>57</v>
      </c>
      <c r="E2" s="8" t="s">
        <v>59</v>
      </c>
      <c r="F2" s="8" t="s">
        <v>75</v>
      </c>
      <c r="G2" s="8" t="s">
        <v>66</v>
      </c>
      <c r="H2" s="8" t="s">
        <v>76</v>
      </c>
      <c r="I2" s="8" t="s">
        <v>67</v>
      </c>
      <c r="J2" s="8" t="s">
        <v>77</v>
      </c>
      <c r="K2" s="8" t="s">
        <v>68</v>
      </c>
      <c r="L2" s="8" t="s">
        <v>58</v>
      </c>
      <c r="M2" s="8" t="s">
        <v>60</v>
      </c>
      <c r="N2" s="8" t="s">
        <v>53</v>
      </c>
      <c r="O2" s="19" t="s">
        <v>55</v>
      </c>
      <c r="P2" s="8" t="s">
        <v>43</v>
      </c>
      <c r="Q2" s="8" t="s">
        <v>40</v>
      </c>
      <c r="R2" s="8" t="s">
        <v>42</v>
      </c>
      <c r="S2" s="8" t="s">
        <v>78</v>
      </c>
      <c r="T2" s="20" t="s">
        <v>79</v>
      </c>
    </row>
    <row r="3" spans="1:20" x14ac:dyDescent="0.25">
      <c r="A3" s="8">
        <v>12</v>
      </c>
      <c r="B3" s="8">
        <v>300</v>
      </c>
      <c r="C3" s="8">
        <f>(175/1000)*B3</f>
        <v>52.5</v>
      </c>
      <c r="D3" s="8">
        <v>200</v>
      </c>
      <c r="E3" s="8">
        <f>$B$15*D3</f>
        <v>5.6000000000000005</v>
      </c>
      <c r="F3" s="8">
        <v>100</v>
      </c>
      <c r="G3" s="8">
        <f>F3*$B$21</f>
        <v>6</v>
      </c>
      <c r="H3" s="8">
        <v>50</v>
      </c>
      <c r="I3" s="8">
        <f>H3*$B$23</f>
        <v>12</v>
      </c>
      <c r="J3" s="8">
        <v>200</v>
      </c>
      <c r="K3" s="8">
        <f>J3*$B$25</f>
        <v>24</v>
      </c>
      <c r="L3" s="8">
        <v>133</v>
      </c>
      <c r="M3" s="8">
        <f>$B$18*L3</f>
        <v>3.9899999999999998</v>
      </c>
      <c r="N3" s="8">
        <v>200</v>
      </c>
      <c r="O3" s="8">
        <f>$B$12*N3</f>
        <v>20</v>
      </c>
      <c r="P3" s="17">
        <f>Overheads!$D$32</f>
        <v>236.36363636363637</v>
      </c>
      <c r="Q3" s="8">
        <v>205</v>
      </c>
      <c r="R3" s="17">
        <f>SUM(C3+E3+M3+O3+P3+Q3+K3+I3+G3)</f>
        <v>565.45363636363641</v>
      </c>
      <c r="S3" s="17">
        <f>R3/A3</f>
        <v>47.121136363636367</v>
      </c>
    </row>
    <row r="4" spans="1:20" x14ac:dyDescent="0.25">
      <c r="A4" s="8">
        <v>24</v>
      </c>
      <c r="B4" s="8">
        <v>600</v>
      </c>
      <c r="C4" s="8">
        <f t="shared" ref="C4:C6" si="0">(175/1000)*B4</f>
        <v>105</v>
      </c>
      <c r="D4" s="8">
        <v>400</v>
      </c>
      <c r="E4" s="8">
        <f t="shared" ref="E4:E6" si="1">$B$15*D4</f>
        <v>11.200000000000001</v>
      </c>
      <c r="F4" s="8">
        <v>200</v>
      </c>
      <c r="G4" s="8">
        <f t="shared" ref="G4:G6" si="2">F4*$B$21</f>
        <v>12</v>
      </c>
      <c r="H4" s="8">
        <v>100</v>
      </c>
      <c r="I4" s="8">
        <f t="shared" ref="I4:I6" si="3">H4*$B$23</f>
        <v>24</v>
      </c>
      <c r="J4" s="8">
        <v>400</v>
      </c>
      <c r="K4" s="8">
        <f t="shared" ref="K4:K6" si="4">J4*$B$25</f>
        <v>48</v>
      </c>
      <c r="L4" s="8">
        <v>266</v>
      </c>
      <c r="M4" s="8">
        <f t="shared" ref="M4:M6" si="5">$B$18*L4</f>
        <v>7.9799999999999995</v>
      </c>
      <c r="N4" s="8">
        <f>N3*2</f>
        <v>400</v>
      </c>
      <c r="O4" s="8">
        <f t="shared" ref="O4:O6" si="6">$B$12*N4</f>
        <v>40</v>
      </c>
      <c r="P4" s="17">
        <f>Overheads!$D$32</f>
        <v>236.36363636363637</v>
      </c>
      <c r="Q4" s="8">
        <v>205</v>
      </c>
      <c r="R4" s="17">
        <f t="shared" ref="R4:R6" si="7">SUM(C4+E4+M4+O4+P4+Q4+K4+I4+G4)</f>
        <v>689.54363636363632</v>
      </c>
      <c r="S4" s="17">
        <f t="shared" ref="S4:S5" si="8">R4/A4</f>
        <v>28.730984848484848</v>
      </c>
    </row>
    <row r="5" spans="1:20" x14ac:dyDescent="0.25">
      <c r="A5" s="8">
        <v>48</v>
      </c>
      <c r="B5" s="8">
        <v>900</v>
      </c>
      <c r="C5" s="8">
        <f t="shared" si="0"/>
        <v>157.5</v>
      </c>
      <c r="D5" s="8">
        <v>600</v>
      </c>
      <c r="E5" s="8">
        <f t="shared" si="1"/>
        <v>16.8</v>
      </c>
      <c r="F5" s="8">
        <v>300</v>
      </c>
      <c r="G5" s="8">
        <f t="shared" si="2"/>
        <v>18</v>
      </c>
      <c r="H5" s="8">
        <v>150</v>
      </c>
      <c r="I5" s="8">
        <f t="shared" si="3"/>
        <v>36</v>
      </c>
      <c r="J5" s="8">
        <v>600</v>
      </c>
      <c r="K5" s="8">
        <f t="shared" si="4"/>
        <v>72</v>
      </c>
      <c r="L5" s="8">
        <v>399</v>
      </c>
      <c r="M5" s="8">
        <f t="shared" si="5"/>
        <v>11.969999999999999</v>
      </c>
      <c r="N5" s="8">
        <f t="shared" ref="N5:N6" si="9">N4*2</f>
        <v>800</v>
      </c>
      <c r="O5" s="8">
        <f t="shared" si="6"/>
        <v>80</v>
      </c>
      <c r="P5" s="17">
        <f>Overheads!$D$32</f>
        <v>236.36363636363637</v>
      </c>
      <c r="Q5" s="8">
        <v>205</v>
      </c>
      <c r="R5" s="17">
        <f t="shared" si="7"/>
        <v>833.63363636363636</v>
      </c>
      <c r="S5" s="17">
        <f t="shared" si="8"/>
        <v>17.367367424242424</v>
      </c>
    </row>
    <row r="6" spans="1:20" x14ac:dyDescent="0.25">
      <c r="A6" s="8">
        <v>96</v>
      </c>
      <c r="B6" s="8">
        <v>1200</v>
      </c>
      <c r="C6" s="8">
        <f t="shared" si="0"/>
        <v>210</v>
      </c>
      <c r="D6" s="8">
        <v>800</v>
      </c>
      <c r="E6" s="8">
        <f t="shared" si="1"/>
        <v>22.400000000000002</v>
      </c>
      <c r="F6" s="8">
        <v>400</v>
      </c>
      <c r="G6" s="8">
        <f t="shared" si="2"/>
        <v>24</v>
      </c>
      <c r="H6" s="8">
        <v>200</v>
      </c>
      <c r="I6" s="8">
        <f t="shared" si="3"/>
        <v>48</v>
      </c>
      <c r="J6" s="8">
        <v>800</v>
      </c>
      <c r="K6" s="8">
        <f t="shared" si="4"/>
        <v>96</v>
      </c>
      <c r="L6" s="8">
        <v>532</v>
      </c>
      <c r="M6" s="8">
        <f t="shared" si="5"/>
        <v>15.959999999999999</v>
      </c>
      <c r="N6" s="8">
        <f t="shared" si="9"/>
        <v>1600</v>
      </c>
      <c r="O6" s="8">
        <f t="shared" si="6"/>
        <v>160</v>
      </c>
      <c r="P6" s="17">
        <f>Overheads!$D$32</f>
        <v>236.36363636363637</v>
      </c>
      <c r="Q6" s="8">
        <v>205</v>
      </c>
      <c r="R6" s="17">
        <f t="shared" si="7"/>
        <v>1017.7236363636364</v>
      </c>
      <c r="S6" s="17">
        <f>R6/A6</f>
        <v>10.601287878787879</v>
      </c>
      <c r="T6">
        <v>15</v>
      </c>
    </row>
    <row r="11" spans="1:20" x14ac:dyDescent="0.25">
      <c r="A11" t="s">
        <v>54</v>
      </c>
      <c r="B11" t="s">
        <v>56</v>
      </c>
    </row>
    <row r="12" spans="1:20" x14ac:dyDescent="0.25">
      <c r="A12">
        <v>100</v>
      </c>
      <c r="B12">
        <f>100/1000</f>
        <v>0.1</v>
      </c>
    </row>
    <row r="14" spans="1:20" x14ac:dyDescent="0.25">
      <c r="A14" t="s">
        <v>62</v>
      </c>
      <c r="B14" t="s">
        <v>56</v>
      </c>
    </row>
    <row r="15" spans="1:20" x14ac:dyDescent="0.25">
      <c r="A15">
        <v>28</v>
      </c>
      <c r="B15">
        <f>A15/1000</f>
        <v>2.8000000000000001E-2</v>
      </c>
    </row>
    <row r="17" spans="1:2" x14ac:dyDescent="0.25">
      <c r="A17" t="s">
        <v>61</v>
      </c>
      <c r="B17" t="s">
        <v>63</v>
      </c>
    </row>
    <row r="18" spans="1:2" x14ac:dyDescent="0.25">
      <c r="A18">
        <v>30</v>
      </c>
      <c r="B18">
        <f>A18/1000</f>
        <v>0.03</v>
      </c>
    </row>
    <row r="20" spans="1:2" x14ac:dyDescent="0.25">
      <c r="A20" t="s">
        <v>71</v>
      </c>
      <c r="B20" t="s">
        <v>72</v>
      </c>
    </row>
    <row r="21" spans="1:2" x14ac:dyDescent="0.25">
      <c r="A21">
        <v>60</v>
      </c>
      <c r="B21">
        <f>A21/1000</f>
        <v>0.06</v>
      </c>
    </row>
    <row r="22" spans="1:2" x14ac:dyDescent="0.25">
      <c r="A22" t="s">
        <v>70</v>
      </c>
      <c r="B22" t="s">
        <v>73</v>
      </c>
    </row>
    <row r="23" spans="1:2" x14ac:dyDescent="0.25">
      <c r="A23">
        <v>60</v>
      </c>
      <c r="B23">
        <f>A23/250</f>
        <v>0.24</v>
      </c>
    </row>
    <row r="24" spans="1:2" x14ac:dyDescent="0.25">
      <c r="A24" t="s">
        <v>69</v>
      </c>
      <c r="B24" t="s">
        <v>74</v>
      </c>
    </row>
    <row r="25" spans="1:2" x14ac:dyDescent="0.25">
      <c r="A25">
        <v>60</v>
      </c>
      <c r="B25">
        <f>A25/500</f>
        <v>0.12</v>
      </c>
    </row>
  </sheetData>
  <mergeCells count="1">
    <mergeCell ref="A1: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19DC-4B3E-482B-9572-6A7E4738E2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667A-8694-41BD-AF49-8B7C72C0104C}">
  <dimension ref="A1:D68"/>
  <sheetViews>
    <sheetView topLeftCell="A20" workbookViewId="0">
      <selection sqref="A1:F41"/>
    </sheetView>
  </sheetViews>
  <sheetFormatPr defaultRowHeight="15" x14ac:dyDescent="0.25"/>
  <cols>
    <col min="1" max="1" width="35.7109375" bestFit="1" customWidth="1"/>
    <col min="2" max="2" width="27.140625" bestFit="1" customWidth="1"/>
    <col min="3" max="3" width="16" bestFit="1" customWidth="1"/>
    <col min="4" max="4" width="22.5703125" bestFit="1" customWidth="1"/>
    <col min="5" max="6" width="12" bestFit="1" customWidth="1"/>
  </cols>
  <sheetData>
    <row r="1" spans="1:4" x14ac:dyDescent="0.25">
      <c r="A1" t="s">
        <v>98</v>
      </c>
    </row>
    <row r="2" spans="1:4" x14ac:dyDescent="0.25">
      <c r="A2" t="s">
        <v>43</v>
      </c>
      <c r="B2" t="s">
        <v>40</v>
      </c>
      <c r="C2" t="s">
        <v>42</v>
      </c>
    </row>
    <row r="3" spans="1:4" x14ac:dyDescent="0.25">
      <c r="A3">
        <f>Overheads!$D$32</f>
        <v>236.36363636363637</v>
      </c>
      <c r="B3">
        <v>205</v>
      </c>
      <c r="C3">
        <f>SUM(A3:B3)</f>
        <v>441.36363636363637</v>
      </c>
    </row>
    <row r="7" spans="1:4" x14ac:dyDescent="0.25">
      <c r="B7" t="s">
        <v>252</v>
      </c>
    </row>
    <row r="8" spans="1:4" x14ac:dyDescent="0.25">
      <c r="A8" t="s">
        <v>80</v>
      </c>
      <c r="B8" t="s">
        <v>81</v>
      </c>
      <c r="C8" t="s">
        <v>101</v>
      </c>
      <c r="D8" t="s">
        <v>201</v>
      </c>
    </row>
    <row r="9" spans="1:4" x14ac:dyDescent="0.25">
      <c r="A9" t="s">
        <v>198</v>
      </c>
      <c r="B9">
        <v>600</v>
      </c>
      <c r="C9">
        <f>D51*B9</f>
        <v>6.7824000000000009</v>
      </c>
      <c r="D9">
        <f>C9/4</f>
        <v>1.6956000000000002</v>
      </c>
    </row>
    <row r="10" spans="1:4" x14ac:dyDescent="0.25">
      <c r="A10" t="s">
        <v>246</v>
      </c>
      <c r="B10">
        <v>400</v>
      </c>
      <c r="C10">
        <f>B10*D50</f>
        <v>5.37568</v>
      </c>
      <c r="D10">
        <f>C10/4</f>
        <v>1.34392</v>
      </c>
    </row>
    <row r="11" spans="1:4" x14ac:dyDescent="0.25">
      <c r="A11" t="s">
        <v>50</v>
      </c>
      <c r="B11">
        <v>160</v>
      </c>
      <c r="C11">
        <f>B11*D57</f>
        <v>38.4</v>
      </c>
      <c r="D11">
        <f>SUM(C11/4)</f>
        <v>9.6</v>
      </c>
    </row>
    <row r="12" spans="1:4" x14ac:dyDescent="0.25">
      <c r="A12" t="s">
        <v>199</v>
      </c>
      <c r="B12">
        <v>1</v>
      </c>
      <c r="C12">
        <f>B12*D68</f>
        <v>6</v>
      </c>
      <c r="D12">
        <f>SUM(C12/4)</f>
        <v>1.5</v>
      </c>
    </row>
    <row r="13" spans="1:4" x14ac:dyDescent="0.25">
      <c r="A13" t="s">
        <v>200</v>
      </c>
      <c r="B13">
        <v>4</v>
      </c>
      <c r="C13">
        <f>D62*B13</f>
        <v>0.88</v>
      </c>
      <c r="D13">
        <f>SUM(C13/4)</f>
        <v>0.22</v>
      </c>
    </row>
    <row r="14" spans="1:4" x14ac:dyDescent="0.25">
      <c r="A14" t="s">
        <v>25</v>
      </c>
      <c r="B14">
        <v>800</v>
      </c>
      <c r="C14">
        <v>0</v>
      </c>
      <c r="D14">
        <v>0</v>
      </c>
    </row>
    <row r="15" spans="1:4" x14ac:dyDescent="0.25">
      <c r="A15" t="s">
        <v>17</v>
      </c>
      <c r="B15">
        <f>SUM(B9:B14)</f>
        <v>1965</v>
      </c>
      <c r="C15">
        <f>SUM(C9:C14)</f>
        <v>57.438080000000006</v>
      </c>
      <c r="D15">
        <f>SUM(D9:D14)</f>
        <v>14.359520000000002</v>
      </c>
    </row>
    <row r="16" spans="1:4" x14ac:dyDescent="0.25">
      <c r="B16" t="s">
        <v>247</v>
      </c>
      <c r="D16">
        <f>SUM(D9:D14)</f>
        <v>14.359520000000002</v>
      </c>
    </row>
    <row r="18" spans="1:2" x14ac:dyDescent="0.25">
      <c r="A18" t="s">
        <v>102</v>
      </c>
      <c r="B18" s="2">
        <f>C3</f>
        <v>441.36363636363637</v>
      </c>
    </row>
    <row r="19" spans="1:2" x14ac:dyDescent="0.25">
      <c r="A19" t="s">
        <v>52</v>
      </c>
      <c r="B19">
        <f>SUM(C15)</f>
        <v>57.438080000000006</v>
      </c>
    </row>
    <row r="21" spans="1:2" x14ac:dyDescent="0.25">
      <c r="A21" t="s">
        <v>103</v>
      </c>
      <c r="B21">
        <f>SUM(B18:B19)/20</f>
        <v>24.940085818181821</v>
      </c>
    </row>
    <row r="25" spans="1:2" x14ac:dyDescent="0.25">
      <c r="B25" t="s">
        <v>141</v>
      </c>
    </row>
    <row r="26" spans="1:2" x14ac:dyDescent="0.25">
      <c r="A26" t="s">
        <v>104</v>
      </c>
      <c r="B26">
        <v>2</v>
      </c>
    </row>
    <row r="27" spans="1:2" x14ac:dyDescent="0.25">
      <c r="A27" t="s">
        <v>105</v>
      </c>
      <c r="B27">
        <v>1.5</v>
      </c>
    </row>
    <row r="28" spans="1:2" x14ac:dyDescent="0.25">
      <c r="A28" t="s">
        <v>95</v>
      </c>
      <c r="B28">
        <f>SUM(18/4)</f>
        <v>4.5</v>
      </c>
    </row>
    <row r="37" spans="1:4" x14ac:dyDescent="0.25">
      <c r="A37" t="s">
        <v>42</v>
      </c>
      <c r="B37">
        <f>SUM($B$21+B26+B27+B28)</f>
        <v>32.940085818181821</v>
      </c>
    </row>
    <row r="38" spans="1:4" x14ac:dyDescent="0.25">
      <c r="A38" t="s">
        <v>92</v>
      </c>
      <c r="B38">
        <f>SUM((B37*0.3)+B37)</f>
        <v>42.822111563636369</v>
      </c>
    </row>
    <row r="39" spans="1:4" x14ac:dyDescent="0.25">
      <c r="A39" t="s">
        <v>93</v>
      </c>
      <c r="B39">
        <f>((B38*0.15)+B38)</f>
        <v>49.245428298181821</v>
      </c>
    </row>
    <row r="48" spans="1:4" x14ac:dyDescent="0.25">
      <c r="A48" t="str">
        <f>'Cost of Ingredients'!A1</f>
        <v>Cost of ingredients</v>
      </c>
      <c r="B48" t="str">
        <f>'Cost of Ingredients'!B1</f>
        <v>Quantity</v>
      </c>
      <c r="C48" t="str">
        <f>'Cost of Ingredients'!C1</f>
        <v>Cost (23.10.2023)</v>
      </c>
      <c r="D48" t="str">
        <f>'Cost of Ingredients'!D1</f>
        <v>Unit Cost</v>
      </c>
    </row>
    <row r="49" spans="1:4" x14ac:dyDescent="0.25">
      <c r="A49" t="str">
        <f>'Cost of Ingredients'!A2</f>
        <v>Sugar</v>
      </c>
      <c r="B49">
        <f>'Cost of Ingredients'!B2</f>
        <v>12500</v>
      </c>
      <c r="C49">
        <f>'Cost of Ingredients'!C2</f>
        <v>268.5</v>
      </c>
      <c r="D49">
        <f>'Cost of Ingredients'!D2</f>
        <v>2.1479999999999999E-2</v>
      </c>
    </row>
    <row r="50" spans="1:4" x14ac:dyDescent="0.25">
      <c r="A50" t="str">
        <f>'Cost of Ingredients'!A3</f>
        <v>Flour White</v>
      </c>
      <c r="B50">
        <f>'Cost of Ingredients'!B3</f>
        <v>12500</v>
      </c>
      <c r="C50">
        <f>'Cost of Ingredients'!C3</f>
        <v>167.99</v>
      </c>
      <c r="D50">
        <f>'Cost of Ingredients'!D3</f>
        <v>1.34392E-2</v>
      </c>
    </row>
    <row r="51" spans="1:4" x14ac:dyDescent="0.25">
      <c r="A51" t="s">
        <v>251</v>
      </c>
      <c r="B51">
        <v>12500</v>
      </c>
      <c r="C51">
        <v>141.30000000000001</v>
      </c>
      <c r="D51">
        <f>'Cost of Ingredients'!D4</f>
        <v>1.1304000000000002E-2</v>
      </c>
    </row>
    <row r="52" spans="1:4" x14ac:dyDescent="0.25">
      <c r="A52" t="str">
        <f>'Cost of Ingredients'!A5</f>
        <v>Margerine</v>
      </c>
      <c r="B52">
        <f>'Cost of Ingredients'!B5</f>
        <v>25000</v>
      </c>
      <c r="C52">
        <f>'Cost of Ingredients'!C5</f>
        <v>750</v>
      </c>
      <c r="D52">
        <f>'Cost of Ingredients'!D5</f>
        <v>0.03</v>
      </c>
    </row>
    <row r="53" spans="1:4" x14ac:dyDescent="0.25">
      <c r="A53" t="str">
        <f>'Cost of Ingredients'!A6</f>
        <v>Creame</v>
      </c>
      <c r="B53">
        <f>'Cost of Ingredients'!B6</f>
        <v>1000</v>
      </c>
      <c r="C53">
        <f>'Cost of Ingredients'!C6</f>
        <v>43.9</v>
      </c>
      <c r="D53">
        <f>'Cost of Ingredients'!D6</f>
        <v>4.3900000000000002E-2</v>
      </c>
    </row>
    <row r="54" spans="1:4" x14ac:dyDescent="0.25">
      <c r="A54" t="str">
        <f>'Cost of Ingredients'!A7</f>
        <v>Honey</v>
      </c>
      <c r="B54">
        <f>'Cost of Ingredients'!B7</f>
        <v>1000</v>
      </c>
      <c r="C54">
        <f>'Cost of Ingredients'!C7</f>
        <v>117</v>
      </c>
      <c r="D54">
        <f>'Cost of Ingredients'!D7</f>
        <v>0.11700000000000001</v>
      </c>
    </row>
    <row r="55" spans="1:4" x14ac:dyDescent="0.25">
      <c r="A55" t="str">
        <f>'Cost of Ingredients'!A8</f>
        <v>Chocolate</v>
      </c>
      <c r="B55">
        <f>'Cost of Ingredients'!B8</f>
        <v>1000</v>
      </c>
      <c r="C55">
        <f>'Cost of Ingredients'!C8</f>
        <v>90</v>
      </c>
      <c r="D55">
        <f>'Cost of Ingredients'!D8</f>
        <v>0.09</v>
      </c>
    </row>
    <row r="56" spans="1:4" x14ac:dyDescent="0.25">
      <c r="A56" t="str">
        <f>'Cost of Ingredients'!A9</f>
        <v>Macadamia Nuts</v>
      </c>
      <c r="B56">
        <f>'Cost of Ingredients'!B9</f>
        <v>1000</v>
      </c>
      <c r="C56">
        <f>'Cost of Ingredients'!C9</f>
        <v>100.8230384954452</v>
      </c>
      <c r="D56">
        <f>'Cost of Ingredients'!D9</f>
        <v>0.1008230384954452</v>
      </c>
    </row>
    <row r="57" spans="1:4" x14ac:dyDescent="0.25">
      <c r="A57" t="str">
        <f>'Cost of Ingredients'!A10</f>
        <v>Pecan Nuts</v>
      </c>
      <c r="B57">
        <f>'Cost of Ingredients'!B10</f>
        <v>1000</v>
      </c>
      <c r="C57">
        <f>'Cost of Ingredients'!C10</f>
        <v>240</v>
      </c>
      <c r="D57">
        <f>'Cost of Ingredients'!D10</f>
        <v>0.24</v>
      </c>
    </row>
    <row r="58" spans="1:4" x14ac:dyDescent="0.25">
      <c r="A58" t="str">
        <f>'Cost of Ingredients'!A11</f>
        <v>Eggs</v>
      </c>
      <c r="B58">
        <f>'Cost of Ingredients'!B11</f>
        <v>1</v>
      </c>
      <c r="C58">
        <f>'Cost of Ingredients'!C11</f>
        <v>2.5</v>
      </c>
      <c r="D58">
        <f>'Cost of Ingredients'!D11</f>
        <v>2.5</v>
      </c>
    </row>
    <row r="59" spans="1:4" x14ac:dyDescent="0.25">
      <c r="A59" t="str">
        <f>'Cost of Ingredients'!A12</f>
        <v>Palm Oil</v>
      </c>
      <c r="B59">
        <f>'Cost of Ingredients'!B12</f>
        <v>20000</v>
      </c>
      <c r="C59">
        <f>'Cost of Ingredients'!C12</f>
        <v>520</v>
      </c>
      <c r="D59">
        <f>'Cost of Ingredients'!D12</f>
        <v>2.5999999999999999E-2</v>
      </c>
    </row>
    <row r="60" spans="1:4" x14ac:dyDescent="0.25">
      <c r="A60" t="str">
        <f>'Cost of Ingredients'!A13</f>
        <v>Six Guns Spice</v>
      </c>
      <c r="B60">
        <f>'Cost of Ingredients'!B13</f>
        <v>1000</v>
      </c>
      <c r="C60">
        <f>'Cost of Ingredients'!C13</f>
        <v>85</v>
      </c>
      <c r="D60">
        <f>'Cost of Ingredients'!D13</f>
        <v>8.5000000000000006E-2</v>
      </c>
    </row>
    <row r="61" spans="1:4" x14ac:dyDescent="0.25">
      <c r="A61" t="str">
        <f>'Cost of Ingredients'!A14</f>
        <v>Nutritional Yeast</v>
      </c>
      <c r="B61">
        <f>'Cost of Ingredients'!B14</f>
        <v>150</v>
      </c>
      <c r="C61">
        <f>'Cost of Ingredients'!C14</f>
        <v>60</v>
      </c>
      <c r="D61">
        <f>'Cost of Ingredients'!D14</f>
        <v>0.4</v>
      </c>
    </row>
    <row r="62" spans="1:4" x14ac:dyDescent="0.25">
      <c r="A62" t="str">
        <f>'Cost of Ingredients'!A15</f>
        <v>Salt and Pepper</v>
      </c>
      <c r="B62">
        <f>'Cost of Ingredients'!B15</f>
        <v>500</v>
      </c>
      <c r="C62">
        <f>'Cost of Ingredients'!C15</f>
        <v>110</v>
      </c>
      <c r="D62">
        <f>'Cost of Ingredients'!D15</f>
        <v>0.22</v>
      </c>
    </row>
    <row r="63" spans="1:4" x14ac:dyDescent="0.25">
      <c r="A63" t="str">
        <f>'Cost of Ingredients'!A16</f>
        <v>Paprika</v>
      </c>
      <c r="B63">
        <f>'Cost of Ingredients'!B16</f>
        <v>500</v>
      </c>
      <c r="C63">
        <f>'Cost of Ingredients'!C16</f>
        <v>60</v>
      </c>
      <c r="D63">
        <f>'Cost of Ingredients'!D16</f>
        <v>0.12</v>
      </c>
    </row>
    <row r="64" spans="1:4" x14ac:dyDescent="0.25">
      <c r="A64" t="str">
        <f>'Cost of Ingredients'!A17</f>
        <v>Turmeric</v>
      </c>
      <c r="B64">
        <f>'Cost of Ingredients'!B17</f>
        <v>500</v>
      </c>
      <c r="C64">
        <f>'Cost of Ingredients'!C17</f>
        <v>60</v>
      </c>
      <c r="D64">
        <f>'Cost of Ingredients'!D17</f>
        <v>0.12</v>
      </c>
    </row>
    <row r="65" spans="1:4" x14ac:dyDescent="0.25">
      <c r="A65" t="str">
        <f>'Cost of Ingredients'!A18</f>
        <v>Herbs</v>
      </c>
      <c r="B65">
        <f>'Cost of Ingredients'!B18</f>
        <v>500</v>
      </c>
      <c r="C65">
        <f>'Cost of Ingredients'!C18</f>
        <v>60</v>
      </c>
      <c r="D65">
        <f>'Cost of Ingredients'!D18</f>
        <v>0.12</v>
      </c>
    </row>
    <row r="66" spans="1:4" x14ac:dyDescent="0.25">
      <c r="A66" t="str">
        <f>'Cost of Ingredients'!A19</f>
        <v>Turmeric Root</v>
      </c>
      <c r="B66">
        <f>'Cost of Ingredients'!B19</f>
        <v>1000</v>
      </c>
      <c r="C66">
        <f>'Cost of Ingredients'!C19</f>
        <v>100</v>
      </c>
      <c r="D66">
        <f>'Cost of Ingredients'!D19</f>
        <v>0.1</v>
      </c>
    </row>
    <row r="67" spans="1:4" x14ac:dyDescent="0.25">
      <c r="A67" t="str">
        <f>'Cost of Ingredients'!A20</f>
        <v>Brown Flour</v>
      </c>
      <c r="B67">
        <f>'Cost of Ingredients'!B20</f>
        <v>2500</v>
      </c>
      <c r="C67">
        <f>'Cost of Ingredients'!C20</f>
        <v>50</v>
      </c>
      <c r="D67">
        <f>'Cost of Ingredients'!D20</f>
        <v>0.02</v>
      </c>
    </row>
    <row r="68" spans="1:4" x14ac:dyDescent="0.25">
      <c r="A68" t="str">
        <f>'Cost of Ingredients'!A21</f>
        <v>Yeast</v>
      </c>
      <c r="B68">
        <f>'Cost of Ingredients'!B21</f>
        <v>1</v>
      </c>
      <c r="C68">
        <f>'Cost of Ingredients'!C21</f>
        <v>6</v>
      </c>
      <c r="D68">
        <f>'Cost of Ingredients'!D21</f>
        <v>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9DB0-6C15-4365-AF30-102147922E61}">
  <dimension ref="A1:D47"/>
  <sheetViews>
    <sheetView tabSelected="1" workbookViewId="0">
      <selection activeCell="D27" sqref="D27"/>
    </sheetView>
  </sheetViews>
  <sheetFormatPr defaultRowHeight="15" x14ac:dyDescent="0.25"/>
  <cols>
    <col min="1" max="1" width="35.7109375" bestFit="1" customWidth="1"/>
    <col min="2" max="2" width="27.140625" bestFit="1" customWidth="1"/>
    <col min="3" max="3" width="14.7109375" bestFit="1" customWidth="1"/>
    <col min="4" max="4" width="19.7109375" bestFit="1" customWidth="1"/>
  </cols>
  <sheetData>
    <row r="1" spans="1:4" x14ac:dyDescent="0.25">
      <c r="A1" t="s">
        <v>276</v>
      </c>
    </row>
    <row r="2" spans="1:4" x14ac:dyDescent="0.25">
      <c r="A2" t="s">
        <v>43</v>
      </c>
      <c r="B2" t="s">
        <v>40</v>
      </c>
      <c r="C2" t="s">
        <v>42</v>
      </c>
    </row>
    <row r="3" spans="1:4" x14ac:dyDescent="0.25">
      <c r="A3">
        <f>Overheads!$D$32</f>
        <v>236.36363636363637</v>
      </c>
      <c r="B3">
        <v>205</v>
      </c>
      <c r="C3">
        <f>SUM(A3:B3)</f>
        <v>441.36363636363637</v>
      </c>
    </row>
    <row r="7" spans="1:4" x14ac:dyDescent="0.25">
      <c r="B7" t="s">
        <v>277</v>
      </c>
    </row>
    <row r="8" spans="1:4" x14ac:dyDescent="0.25">
      <c r="A8" t="s">
        <v>80</v>
      </c>
      <c r="B8" t="s">
        <v>81</v>
      </c>
      <c r="C8" t="s">
        <v>101</v>
      </c>
      <c r="D8" t="s">
        <v>42</v>
      </c>
    </row>
    <row r="9" spans="1:4" x14ac:dyDescent="0.25">
      <c r="A9" t="s">
        <v>267</v>
      </c>
      <c r="B9">
        <v>750</v>
      </c>
      <c r="C9">
        <f>'Cost of Ingredients'!D22</f>
        <v>3.9E-2</v>
      </c>
      <c r="D9">
        <f>C9*B9</f>
        <v>29.25</v>
      </c>
    </row>
    <row r="10" spans="1:4" x14ac:dyDescent="0.25">
      <c r="A10" t="s">
        <v>275</v>
      </c>
      <c r="B10">
        <v>150</v>
      </c>
      <c r="C10">
        <f>'Cost of Ingredients'!D30</f>
        <v>6.5000000000000002E-2</v>
      </c>
      <c r="D10">
        <f t="shared" ref="D10:D22" si="0">C10*B10</f>
        <v>9.75</v>
      </c>
    </row>
    <row r="11" spans="1:4" x14ac:dyDescent="0.25">
      <c r="A11" t="s">
        <v>268</v>
      </c>
      <c r="B11">
        <v>200</v>
      </c>
      <c r="C11">
        <f>'Cost of Ingredients'!D23</f>
        <v>7.9000000000000001E-2</v>
      </c>
      <c r="D11">
        <f t="shared" si="0"/>
        <v>15.8</v>
      </c>
    </row>
    <row r="12" spans="1:4" x14ac:dyDescent="0.25">
      <c r="A12" t="s">
        <v>271</v>
      </c>
      <c r="B12">
        <v>40</v>
      </c>
      <c r="C12">
        <f>'Cost of Ingredients'!D26</f>
        <v>0.46</v>
      </c>
      <c r="D12">
        <f t="shared" si="0"/>
        <v>18.400000000000002</v>
      </c>
    </row>
    <row r="13" spans="1:4" x14ac:dyDescent="0.25">
      <c r="A13" t="s">
        <v>269</v>
      </c>
      <c r="B13">
        <v>50</v>
      </c>
      <c r="C13">
        <f>'Cost of Ingredients'!D24</f>
        <v>0.42</v>
      </c>
      <c r="D13">
        <f t="shared" si="0"/>
        <v>21</v>
      </c>
    </row>
    <row r="14" spans="1:4" x14ac:dyDescent="0.25">
      <c r="A14" t="s">
        <v>278</v>
      </c>
      <c r="B14">
        <v>25</v>
      </c>
      <c r="C14">
        <f>'Cost of Ingredients'!D25</f>
        <v>0.15</v>
      </c>
      <c r="D14">
        <f t="shared" si="0"/>
        <v>3.75</v>
      </c>
    </row>
    <row r="15" spans="1:4" x14ac:dyDescent="0.25">
      <c r="A15" t="s">
        <v>272</v>
      </c>
      <c r="B15">
        <v>50</v>
      </c>
      <c r="C15">
        <f>'Cost of Ingredients'!D27</f>
        <v>6.4000000000000001E-2</v>
      </c>
      <c r="D15">
        <f t="shared" si="0"/>
        <v>3.2</v>
      </c>
    </row>
    <row r="16" spans="1:4" x14ac:dyDescent="0.25">
      <c r="A16" t="s">
        <v>274</v>
      </c>
      <c r="B16">
        <v>100</v>
      </c>
      <c r="C16">
        <f>'Cost of Ingredients'!D29</f>
        <v>4.4999999999999998E-2</v>
      </c>
      <c r="D16">
        <f t="shared" si="0"/>
        <v>4.5</v>
      </c>
    </row>
    <row r="17" spans="1:4" x14ac:dyDescent="0.25">
      <c r="A17" t="s">
        <v>279</v>
      </c>
      <c r="B17">
        <v>150</v>
      </c>
      <c r="C17" s="2">
        <f>'Cost of Ingredients'!D9</f>
        <v>0.1008230384954452</v>
      </c>
      <c r="D17">
        <f t="shared" si="0"/>
        <v>15.123455774316781</v>
      </c>
    </row>
    <row r="18" spans="1:4" x14ac:dyDescent="0.25">
      <c r="A18" t="s">
        <v>280</v>
      </c>
      <c r="B18">
        <v>150</v>
      </c>
      <c r="C18">
        <f>'Cost of Ingredients'!D10</f>
        <v>0.24</v>
      </c>
      <c r="D18">
        <f t="shared" si="0"/>
        <v>36</v>
      </c>
    </row>
    <row r="19" spans="1:4" x14ac:dyDescent="0.25">
      <c r="A19" t="s">
        <v>46</v>
      </c>
      <c r="B19">
        <v>250</v>
      </c>
      <c r="C19">
        <f>'Cost of Ingredients'!D7</f>
        <v>0.11700000000000001</v>
      </c>
      <c r="D19">
        <f t="shared" si="0"/>
        <v>29.25</v>
      </c>
    </row>
    <row r="20" spans="1:4" x14ac:dyDescent="0.25">
      <c r="A20" t="s">
        <v>281</v>
      </c>
      <c r="B20">
        <v>250</v>
      </c>
      <c r="C20">
        <f>'Cost of Ingredients'!D31</f>
        <v>0.03</v>
      </c>
      <c r="D20">
        <f t="shared" si="0"/>
        <v>7.5</v>
      </c>
    </row>
    <row r="21" spans="1:4" x14ac:dyDescent="0.25">
      <c r="A21" t="s">
        <v>282</v>
      </c>
      <c r="B21">
        <v>100</v>
      </c>
      <c r="C21">
        <f>'Cost of Ingredients'!D8</f>
        <v>0.09</v>
      </c>
      <c r="D21">
        <f t="shared" si="0"/>
        <v>9</v>
      </c>
    </row>
    <row r="22" spans="1:4" x14ac:dyDescent="0.25">
      <c r="A22" t="s">
        <v>283</v>
      </c>
      <c r="B22">
        <v>75</v>
      </c>
      <c r="C22">
        <f>'Cost of Ingredients'!D28</f>
        <v>0.128</v>
      </c>
      <c r="D22">
        <f t="shared" si="0"/>
        <v>9.6</v>
      </c>
    </row>
    <row r="23" spans="1:4" x14ac:dyDescent="0.25">
      <c r="A23" t="s">
        <v>17</v>
      </c>
      <c r="B23">
        <f>SUM(B9:B22)</f>
        <v>2340</v>
      </c>
      <c r="C23">
        <f>SUM(C9:C22)</f>
        <v>2.0278230384954452</v>
      </c>
      <c r="D23">
        <f>SUM(D9:D22)</f>
        <v>212.1234557743168</v>
      </c>
    </row>
    <row r="24" spans="1:4" x14ac:dyDescent="0.25">
      <c r="B24" t="s">
        <v>284</v>
      </c>
      <c r="D24">
        <f>SUM(D9:D22)</f>
        <v>212.1234557743168</v>
      </c>
    </row>
    <row r="26" spans="1:4" x14ac:dyDescent="0.25">
      <c r="A26" t="s">
        <v>102</v>
      </c>
      <c r="B26">
        <f>C3/4</f>
        <v>110.34090909090909</v>
      </c>
      <c r="D26">
        <f>B26</f>
        <v>110.34090909090909</v>
      </c>
    </row>
    <row r="27" spans="1:4" x14ac:dyDescent="0.25">
      <c r="A27" t="s">
        <v>52</v>
      </c>
      <c r="B27">
        <f>SUM(D24)</f>
        <v>212.1234557743168</v>
      </c>
      <c r="D27">
        <f>D24</f>
        <v>212.1234557743168</v>
      </c>
    </row>
    <row r="29" spans="1:4" x14ac:dyDescent="0.25">
      <c r="A29" t="s">
        <v>103</v>
      </c>
      <c r="B29">
        <f>SUM(B26:B27)/6</f>
        <v>53.744060810870984</v>
      </c>
      <c r="D29">
        <f>SUM(D26:D27)/6</f>
        <v>53.744060810870984</v>
      </c>
    </row>
    <row r="33" spans="1:4" x14ac:dyDescent="0.25">
      <c r="B33" t="s">
        <v>141</v>
      </c>
    </row>
    <row r="34" spans="1:4" x14ac:dyDescent="0.25">
      <c r="A34" t="s">
        <v>104</v>
      </c>
      <c r="B34">
        <v>5</v>
      </c>
      <c r="D34">
        <v>5</v>
      </c>
    </row>
    <row r="35" spans="1:4" x14ac:dyDescent="0.25">
      <c r="A35" t="s">
        <v>105</v>
      </c>
      <c r="B35">
        <v>1.5</v>
      </c>
      <c r="D35">
        <v>1.5</v>
      </c>
    </row>
    <row r="36" spans="1:4" x14ac:dyDescent="0.25">
      <c r="A36" t="s">
        <v>95</v>
      </c>
      <c r="B36">
        <f>SUM(18/4)</f>
        <v>4.5</v>
      </c>
      <c r="D36">
        <f t="shared" ref="C36:D36" si="1">SUM(18/4)</f>
        <v>4.5</v>
      </c>
    </row>
    <row r="45" spans="1:4" x14ac:dyDescent="0.25">
      <c r="A45" t="s">
        <v>42</v>
      </c>
      <c r="B45">
        <f>SUM($B$29+B34+B35+B36)</f>
        <v>64.744060810870991</v>
      </c>
      <c r="D45">
        <f>SUM($D$29+D34+D35+D36)</f>
        <v>64.744060810870991</v>
      </c>
    </row>
    <row r="46" spans="1:4" x14ac:dyDescent="0.25">
      <c r="A46" t="s">
        <v>92</v>
      </c>
      <c r="B46">
        <f>SUM((B45*0.3)+B45)</f>
        <v>84.16727905413228</v>
      </c>
      <c r="C46" s="45" t="s">
        <v>286</v>
      </c>
      <c r="D46">
        <f>D45*1.6</f>
        <v>103.5904972973936</v>
      </c>
    </row>
    <row r="47" spans="1:4" x14ac:dyDescent="0.25">
      <c r="A47" t="s">
        <v>93</v>
      </c>
      <c r="B47">
        <f>((B46*0.15)+B46)</f>
        <v>96.792370912252125</v>
      </c>
      <c r="D47">
        <f>((D46*0.15)+D46)</f>
        <v>119.12907189200263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C978-49FB-4D69-8AFA-C7BC89BC29E0}">
  <dimension ref="A1:F47"/>
  <sheetViews>
    <sheetView topLeftCell="A13" workbookViewId="0">
      <selection activeCell="D32" sqref="D32"/>
    </sheetView>
  </sheetViews>
  <sheetFormatPr defaultRowHeight="15" x14ac:dyDescent="0.25"/>
  <cols>
    <col min="1" max="1" width="24.140625" bestFit="1" customWidth="1"/>
    <col min="2" max="2" width="13.5703125" bestFit="1" customWidth="1"/>
    <col min="3" max="3" width="23.5703125" hidden="1" customWidth="1"/>
    <col min="4" max="4" width="22.85546875" bestFit="1" customWidth="1"/>
    <col min="5" max="5" width="19.140625" bestFit="1" customWidth="1"/>
    <col min="6" max="6" width="14.42578125" bestFit="1" customWidth="1"/>
    <col min="8" max="8" width="24.140625" bestFit="1" customWidth="1"/>
    <col min="9" max="9" width="7.5703125" bestFit="1" customWidth="1"/>
    <col min="10" max="10" width="18.5703125" bestFit="1" customWidth="1"/>
    <col min="11" max="11" width="14.140625" bestFit="1" customWidth="1"/>
    <col min="12" max="12" width="19.140625" bestFit="1" customWidth="1"/>
    <col min="13" max="13" width="7.5703125" bestFit="1" customWidth="1"/>
  </cols>
  <sheetData>
    <row r="1" spans="1:6" x14ac:dyDescent="0.25">
      <c r="A1" s="1" t="s">
        <v>3</v>
      </c>
      <c r="B1" t="s">
        <v>4</v>
      </c>
      <c r="C1" t="s">
        <v>5</v>
      </c>
      <c r="D1" t="s">
        <v>6</v>
      </c>
      <c r="E1" t="s">
        <v>7</v>
      </c>
    </row>
    <row r="2" spans="1:6" x14ac:dyDescent="0.25">
      <c r="A2" t="s">
        <v>8</v>
      </c>
      <c r="B2">
        <v>2000</v>
      </c>
      <c r="C2" s="2">
        <f>SUM(B2/22)</f>
        <v>90.909090909090907</v>
      </c>
      <c r="D2">
        <v>20</v>
      </c>
      <c r="E2">
        <v>500</v>
      </c>
    </row>
    <row r="3" spans="1:6" x14ac:dyDescent="0.25">
      <c r="A3" t="s">
        <v>9</v>
      </c>
      <c r="B3">
        <v>4500</v>
      </c>
      <c r="C3" s="2">
        <f t="shared" ref="C3:C9" si="0">SUM(B3/22)</f>
        <v>204.54545454545453</v>
      </c>
      <c r="D3">
        <v>20</v>
      </c>
      <c r="E3">
        <v>500</v>
      </c>
    </row>
    <row r="4" spans="1:6" x14ac:dyDescent="0.25">
      <c r="A4" t="s">
        <v>10</v>
      </c>
      <c r="B4">
        <v>1500</v>
      </c>
      <c r="C4" s="2">
        <f t="shared" si="0"/>
        <v>68.181818181818187</v>
      </c>
      <c r="D4">
        <v>20</v>
      </c>
      <c r="E4">
        <v>500</v>
      </c>
    </row>
    <row r="5" spans="1:6" x14ac:dyDescent="0.25">
      <c r="A5" t="s">
        <v>11</v>
      </c>
      <c r="B5">
        <v>500</v>
      </c>
      <c r="C5" s="2">
        <f t="shared" si="0"/>
        <v>22.727272727272727</v>
      </c>
      <c r="D5">
        <v>20</v>
      </c>
      <c r="E5">
        <v>500</v>
      </c>
    </row>
    <row r="6" spans="1:6" x14ac:dyDescent="0.25">
      <c r="A6" t="s">
        <v>12</v>
      </c>
      <c r="B6">
        <v>2500</v>
      </c>
      <c r="C6" s="2">
        <f t="shared" si="0"/>
        <v>113.63636363636364</v>
      </c>
      <c r="D6">
        <v>20</v>
      </c>
      <c r="E6">
        <v>500</v>
      </c>
    </row>
    <row r="7" spans="1:6" x14ac:dyDescent="0.25">
      <c r="A7" t="s">
        <v>13</v>
      </c>
      <c r="B7">
        <v>1250</v>
      </c>
      <c r="C7" s="2">
        <f t="shared" si="0"/>
        <v>56.81818181818182</v>
      </c>
      <c r="D7">
        <v>20</v>
      </c>
      <c r="E7">
        <v>500</v>
      </c>
    </row>
    <row r="8" spans="1:6" x14ac:dyDescent="0.25">
      <c r="A8" t="s">
        <v>14</v>
      </c>
      <c r="B8">
        <v>7500</v>
      </c>
      <c r="C8" s="2">
        <f t="shared" si="0"/>
        <v>340.90909090909093</v>
      </c>
      <c r="D8">
        <v>20</v>
      </c>
      <c r="E8">
        <v>500</v>
      </c>
    </row>
    <row r="9" spans="1:6" x14ac:dyDescent="0.25">
      <c r="A9" t="s">
        <v>15</v>
      </c>
      <c r="B9">
        <v>2000</v>
      </c>
      <c r="C9" s="2">
        <f t="shared" si="0"/>
        <v>90.909090909090907</v>
      </c>
      <c r="D9">
        <v>20</v>
      </c>
      <c r="E9">
        <v>500</v>
      </c>
    </row>
    <row r="10" spans="1:6" x14ac:dyDescent="0.25">
      <c r="A10" t="s">
        <v>16</v>
      </c>
    </row>
    <row r="11" spans="1:6" x14ac:dyDescent="0.25">
      <c r="A11" s="1" t="s">
        <v>17</v>
      </c>
      <c r="B11" s="1">
        <f>SUM(B2:B10)</f>
        <v>21750</v>
      </c>
      <c r="C11" s="3">
        <f>SUM(C2:C10)</f>
        <v>988.63636363636363</v>
      </c>
      <c r="D11" s="1">
        <v>20</v>
      </c>
      <c r="E11">
        <v>500</v>
      </c>
      <c r="F11" s="1">
        <f>SUM((C11+E11)/D11)</f>
        <v>74.431818181818173</v>
      </c>
    </row>
    <row r="17" spans="1:5" ht="15.75" thickBot="1" x14ac:dyDescent="0.3"/>
    <row r="18" spans="1:5" x14ac:dyDescent="0.25">
      <c r="A18" s="4"/>
      <c r="B18" s="5" t="s">
        <v>18</v>
      </c>
      <c r="C18" s="5" t="s">
        <v>19</v>
      </c>
      <c r="D18" s="5" t="s">
        <v>20</v>
      </c>
      <c r="E18" s="6" t="s">
        <v>21</v>
      </c>
    </row>
    <row r="19" spans="1:5" x14ac:dyDescent="0.25">
      <c r="A19" s="7" t="s">
        <v>22</v>
      </c>
      <c r="B19" s="8"/>
      <c r="C19" s="8"/>
      <c r="D19" s="8"/>
      <c r="E19" s="9"/>
    </row>
    <row r="20" spans="1:5" x14ac:dyDescent="0.25">
      <c r="A20" s="7" t="s">
        <v>23</v>
      </c>
      <c r="B20" s="8"/>
      <c r="C20" s="8"/>
      <c r="D20" s="8"/>
      <c r="E20" s="9"/>
    </row>
    <row r="21" spans="1:5" x14ac:dyDescent="0.25">
      <c r="A21" s="10" t="s">
        <v>24</v>
      </c>
      <c r="B21" s="8">
        <v>1000</v>
      </c>
      <c r="C21" s="8"/>
      <c r="D21" s="8">
        <v>550</v>
      </c>
      <c r="E21" s="9"/>
    </row>
    <row r="22" spans="1:5" x14ac:dyDescent="0.25">
      <c r="A22" s="10" t="s">
        <v>25</v>
      </c>
      <c r="B22" s="8">
        <v>100</v>
      </c>
      <c r="C22" s="8">
        <v>50</v>
      </c>
      <c r="D22" s="8">
        <v>150</v>
      </c>
      <c r="E22" s="9"/>
    </row>
    <row r="23" spans="1:5" x14ac:dyDescent="0.25">
      <c r="A23" s="10" t="s">
        <v>26</v>
      </c>
      <c r="B23" s="8">
        <v>1000</v>
      </c>
      <c r="C23" s="8">
        <v>1000</v>
      </c>
      <c r="D23" s="8">
        <v>1000</v>
      </c>
      <c r="E23" s="9">
        <v>100</v>
      </c>
    </row>
    <row r="24" spans="1:5" x14ac:dyDescent="0.25">
      <c r="A24" s="10" t="s">
        <v>27</v>
      </c>
      <c r="B24" s="8">
        <v>500</v>
      </c>
      <c r="C24" s="8">
        <v>0</v>
      </c>
      <c r="D24" s="9">
        <v>500</v>
      </c>
      <c r="E24" s="9"/>
    </row>
    <row r="25" spans="1:5" x14ac:dyDescent="0.25">
      <c r="A25" s="10" t="s">
        <v>28</v>
      </c>
      <c r="B25" s="8">
        <v>400</v>
      </c>
      <c r="C25" s="8">
        <v>0</v>
      </c>
      <c r="D25" s="9">
        <v>500</v>
      </c>
      <c r="E25" s="9"/>
    </row>
    <row r="26" spans="1:5" x14ac:dyDescent="0.25">
      <c r="A26" s="10" t="s">
        <v>8</v>
      </c>
      <c r="B26" s="8">
        <v>2000</v>
      </c>
      <c r="C26" s="8">
        <v>1000</v>
      </c>
      <c r="D26" s="8">
        <v>1500</v>
      </c>
      <c r="E26" s="9"/>
    </row>
    <row r="27" spans="1:5" x14ac:dyDescent="0.25">
      <c r="A27" s="10" t="s">
        <v>11</v>
      </c>
      <c r="B27" s="8">
        <v>1000</v>
      </c>
      <c r="C27" s="8">
        <v>500</v>
      </c>
      <c r="D27" s="8">
        <v>500</v>
      </c>
      <c r="E27" s="9">
        <v>0</v>
      </c>
    </row>
    <row r="28" spans="1:5" x14ac:dyDescent="0.25">
      <c r="A28" s="10" t="s">
        <v>31</v>
      </c>
      <c r="B28" s="8">
        <v>2500</v>
      </c>
      <c r="C28" s="8">
        <v>1250</v>
      </c>
      <c r="D28" s="8">
        <v>500</v>
      </c>
      <c r="E28" s="9"/>
    </row>
    <row r="29" spans="1:5" x14ac:dyDescent="0.25">
      <c r="A29" s="10" t="s">
        <v>15</v>
      </c>
      <c r="B29" s="8">
        <v>2000</v>
      </c>
      <c r="C29" s="8"/>
      <c r="D29" s="8"/>
      <c r="E29" s="9"/>
    </row>
    <row r="30" spans="1:5" x14ac:dyDescent="0.25">
      <c r="A30" s="10"/>
      <c r="B30" s="8"/>
      <c r="C30" s="8"/>
      <c r="D30" s="8"/>
      <c r="E30" s="18"/>
    </row>
    <row r="31" spans="1:5" x14ac:dyDescent="0.25">
      <c r="A31" s="7" t="s">
        <v>36</v>
      </c>
      <c r="B31" s="8"/>
      <c r="C31" s="8">
        <f>SUM(C21:C29)</f>
        <v>3800</v>
      </c>
      <c r="D31" s="8">
        <f t="shared" ref="D31:E31" si="1">SUM(D21:D29)</f>
        <v>5200</v>
      </c>
      <c r="E31" s="8">
        <f t="shared" si="1"/>
        <v>100</v>
      </c>
    </row>
    <row r="32" spans="1:5" x14ac:dyDescent="0.25">
      <c r="A32" s="7" t="s">
        <v>37</v>
      </c>
      <c r="B32" s="8"/>
      <c r="C32" s="17">
        <f>C31/22</f>
        <v>172.72727272727272</v>
      </c>
      <c r="D32" s="17">
        <f t="shared" ref="D32:E32" si="2">D31/22</f>
        <v>236.36363636363637</v>
      </c>
      <c r="E32" s="17">
        <f t="shared" si="2"/>
        <v>4.5454545454545459</v>
      </c>
    </row>
    <row r="33" spans="1:6" x14ac:dyDescent="0.25">
      <c r="B33" s="8"/>
      <c r="C33" s="8"/>
      <c r="D33" s="8"/>
      <c r="E33" s="9"/>
    </row>
    <row r="34" spans="1:6" x14ac:dyDescent="0.25">
      <c r="A34" s="7" t="s">
        <v>29</v>
      </c>
      <c r="B34" s="8"/>
      <c r="C34" s="8"/>
      <c r="D34" s="8"/>
      <c r="E34" s="9"/>
    </row>
    <row r="35" spans="1:6" x14ac:dyDescent="0.25">
      <c r="A35" s="10" t="s">
        <v>30</v>
      </c>
      <c r="B35" s="8">
        <v>4500</v>
      </c>
      <c r="C35" s="8"/>
      <c r="D35" s="8"/>
      <c r="E35" s="9">
        <v>5000</v>
      </c>
    </row>
    <row r="36" spans="1:6" x14ac:dyDescent="0.25">
      <c r="A36" s="10"/>
      <c r="B36" s="8"/>
      <c r="C36" s="8"/>
      <c r="D36" s="8"/>
      <c r="E36" s="9"/>
    </row>
    <row r="37" spans="1:6" x14ac:dyDescent="0.25">
      <c r="A37" s="7" t="s">
        <v>41</v>
      </c>
      <c r="B37" s="8"/>
      <c r="C37" s="8"/>
      <c r="D37" s="8"/>
      <c r="E37" s="9"/>
    </row>
    <row r="38" spans="1:6" x14ac:dyDescent="0.25">
      <c r="A38" s="10" t="s">
        <v>14</v>
      </c>
      <c r="B38" s="8">
        <v>24000</v>
      </c>
      <c r="C38" s="8">
        <v>24000</v>
      </c>
      <c r="D38" s="8">
        <v>12000</v>
      </c>
      <c r="E38" s="9"/>
    </row>
    <row r="40" spans="1:6" x14ac:dyDescent="0.25">
      <c r="A40" s="10"/>
      <c r="B40" s="8"/>
      <c r="C40" s="8"/>
      <c r="D40" s="8"/>
      <c r="E40" s="9"/>
    </row>
    <row r="41" spans="1:6" x14ac:dyDescent="0.25">
      <c r="A41" s="7" t="s">
        <v>32</v>
      </c>
      <c r="B41" s="8"/>
      <c r="C41" s="8"/>
      <c r="D41" s="8"/>
      <c r="E41" s="9"/>
    </row>
    <row r="42" spans="1:6" x14ac:dyDescent="0.25">
      <c r="A42" s="10" t="s">
        <v>12</v>
      </c>
      <c r="B42" s="8">
        <v>5000</v>
      </c>
      <c r="C42" s="8"/>
      <c r="D42" s="8"/>
      <c r="E42" s="9">
        <v>5000</v>
      </c>
    </row>
    <row r="43" spans="1:6" ht="15.75" thickBot="1" x14ac:dyDescent="0.3">
      <c r="A43" s="10"/>
      <c r="B43" s="11"/>
      <c r="C43" s="11"/>
      <c r="D43" s="11"/>
      <c r="E43" s="12"/>
    </row>
    <row r="44" spans="1:6" ht="15.75" thickBot="1" x14ac:dyDescent="0.3">
      <c r="A44" s="13"/>
      <c r="B44" s="14" t="s">
        <v>33</v>
      </c>
      <c r="C44" s="15">
        <f>SUM(C34:C42)</f>
        <v>24000</v>
      </c>
      <c r="D44" s="15">
        <f>SUM(D34:D42)</f>
        <v>12000</v>
      </c>
      <c r="E44" s="15">
        <f>SUM(E34:E42)</f>
        <v>10000</v>
      </c>
    </row>
    <row r="45" spans="1:6" ht="15.75" thickBot="1" x14ac:dyDescent="0.3">
      <c r="B45" s="14" t="s">
        <v>34</v>
      </c>
      <c r="C45" s="15">
        <f>C44/20</f>
        <v>1200</v>
      </c>
      <c r="D45" s="15">
        <f t="shared" ref="D45:E45" si="3">D44/20</f>
        <v>600</v>
      </c>
      <c r="E45" s="15">
        <f t="shared" si="3"/>
        <v>500</v>
      </c>
      <c r="F45" t="s">
        <v>35</v>
      </c>
    </row>
    <row r="47" spans="1:6" x14ac:dyDescent="0.25">
      <c r="C47">
        <f>C45+D45+E45</f>
        <v>2300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D583-ADE3-4A6D-9A25-4C7415757029}">
  <dimension ref="A1:I4"/>
  <sheetViews>
    <sheetView workbookViewId="0">
      <selection activeCell="H8" sqref="H8"/>
    </sheetView>
  </sheetViews>
  <sheetFormatPr defaultRowHeight="15" x14ac:dyDescent="0.25"/>
  <cols>
    <col min="1" max="1" width="14.5703125" bestFit="1" customWidth="1"/>
    <col min="2" max="3" width="14.5703125" customWidth="1"/>
    <col min="4" max="4" width="15.140625" bestFit="1" customWidth="1"/>
    <col min="5" max="5" width="16.7109375" bestFit="1" customWidth="1"/>
    <col min="6" max="6" width="16.7109375" customWidth="1"/>
    <col min="7" max="7" width="11.140625" bestFit="1" customWidth="1"/>
    <col min="8" max="8" width="12" bestFit="1" customWidth="1"/>
  </cols>
  <sheetData>
    <row r="1" spans="1:9" x14ac:dyDescent="0.25">
      <c r="A1" t="s">
        <v>175</v>
      </c>
      <c r="B1" t="s">
        <v>180</v>
      </c>
      <c r="C1" t="s">
        <v>179</v>
      </c>
      <c r="D1" t="s">
        <v>176</v>
      </c>
      <c r="E1" t="s">
        <v>177</v>
      </c>
      <c r="F1" t="s">
        <v>42</v>
      </c>
      <c r="G1" t="s">
        <v>178</v>
      </c>
      <c r="H1" t="s">
        <v>181</v>
      </c>
    </row>
    <row r="2" spans="1:9" x14ac:dyDescent="0.25">
      <c r="A2">
        <v>595</v>
      </c>
      <c r="B2">
        <f>A2*20</f>
        <v>11900</v>
      </c>
      <c r="C2">
        <f>SUM((7.68*0.15)+7.68)</f>
        <v>8.831999999999999</v>
      </c>
      <c r="D2">
        <f>SUM(A2*C2)</f>
        <v>5255.0399999999991</v>
      </c>
      <c r="E2">
        <v>170.15</v>
      </c>
      <c r="F2">
        <f>B2+D2</f>
        <v>17155.04</v>
      </c>
      <c r="G2" s="2">
        <f>F2/E2</f>
        <v>100.8230384954452</v>
      </c>
      <c r="H2" s="2">
        <f>SUM((G2*0.3)+G2)</f>
        <v>131.06995004407875</v>
      </c>
    </row>
    <row r="3" spans="1:9" x14ac:dyDescent="0.25">
      <c r="A3">
        <v>1000</v>
      </c>
      <c r="B3">
        <f>A3*20</f>
        <v>20000</v>
      </c>
      <c r="C3">
        <f>SUM(8.52*1.15)</f>
        <v>9.7979999999999983</v>
      </c>
      <c r="D3">
        <f>SUM(A3*C3)</f>
        <v>9797.9999999999982</v>
      </c>
      <c r="E3">
        <v>250</v>
      </c>
      <c r="F3">
        <f>B3+D3</f>
        <v>29798</v>
      </c>
      <c r="G3" s="2">
        <f>F3/E3</f>
        <v>119.19199999999999</v>
      </c>
      <c r="H3" s="2">
        <f>SUM((G3*0.3)+G3)</f>
        <v>154.94959999999998</v>
      </c>
      <c r="I3">
        <f>E3*H3</f>
        <v>38737.399999999994</v>
      </c>
    </row>
    <row r="4" spans="1:9" x14ac:dyDescent="0.25">
      <c r="A4">
        <v>1001</v>
      </c>
      <c r="B4">
        <f>A4*20</f>
        <v>20020</v>
      </c>
      <c r="C4">
        <f>SUM(15.18*1.15)</f>
        <v>17.456999999999997</v>
      </c>
      <c r="D4">
        <f>SUM(A4*C4)</f>
        <v>17474.456999999999</v>
      </c>
      <c r="E4">
        <v>251</v>
      </c>
      <c r="F4">
        <f>B4+D4</f>
        <v>37494.456999999995</v>
      </c>
      <c r="G4" s="2">
        <f>F4/E4</f>
        <v>149.38030677290834</v>
      </c>
      <c r="H4" s="2">
        <f>SUM((G4*0.3)+G4)</f>
        <v>194.19439880478083</v>
      </c>
      <c r="I4">
        <f>E4*H4</f>
        <v>48742.794099999992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A3F4-E552-409C-A14E-D944E93D37C6}">
  <dimension ref="A1:G2"/>
  <sheetViews>
    <sheetView topLeftCell="B1" workbookViewId="0">
      <selection activeCell="G32" sqref="G32"/>
    </sheetView>
  </sheetViews>
  <sheetFormatPr defaultRowHeight="15" x14ac:dyDescent="0.25"/>
  <cols>
    <col min="1" max="1" width="14.5703125" bestFit="1" customWidth="1"/>
    <col min="2" max="2" width="14.5703125" customWidth="1"/>
    <col min="3" max="3" width="15.140625" bestFit="1" customWidth="1"/>
    <col min="4" max="4" width="15.140625" customWidth="1"/>
    <col min="5" max="5" width="16.7109375" bestFit="1" customWidth="1"/>
    <col min="6" max="6" width="11" bestFit="1" customWidth="1"/>
    <col min="7" max="7" width="10.5703125" bestFit="1" customWidth="1"/>
  </cols>
  <sheetData>
    <row r="1" spans="1:7" ht="45" x14ac:dyDescent="0.25">
      <c r="A1" t="s">
        <v>175</v>
      </c>
      <c r="B1" s="16" t="s">
        <v>182</v>
      </c>
      <c r="C1" t="s">
        <v>176</v>
      </c>
      <c r="D1" t="s">
        <v>183</v>
      </c>
      <c r="E1" t="s">
        <v>177</v>
      </c>
      <c r="F1" t="s">
        <v>42</v>
      </c>
      <c r="G1" t="s">
        <v>181</v>
      </c>
    </row>
    <row r="2" spans="1:7" x14ac:dyDescent="0.25">
      <c r="A2">
        <v>226</v>
      </c>
      <c r="B2">
        <f>A2*25</f>
        <v>5650</v>
      </c>
      <c r="C2">
        <v>6000</v>
      </c>
      <c r="D2">
        <f>B2+C2</f>
        <v>11650</v>
      </c>
      <c r="E2">
        <v>65</v>
      </c>
      <c r="F2" s="2">
        <f>SUM(D2/E2)</f>
        <v>179.23076923076923</v>
      </c>
      <c r="G2" s="2">
        <f>SUM((F2*0.3)+F2)</f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22E8-FFBF-4441-BAEC-32A67EC5C20D}">
  <dimension ref="A1:E31"/>
  <sheetViews>
    <sheetView workbookViewId="0">
      <selection activeCell="F32" sqref="F32"/>
    </sheetView>
  </sheetViews>
  <sheetFormatPr defaultRowHeight="15" x14ac:dyDescent="0.25"/>
  <cols>
    <col min="1" max="5" width="18.85546875" style="16" customWidth="1"/>
    <col min="7" max="8" width="12.140625" customWidth="1"/>
    <col min="9" max="9" width="11" customWidth="1"/>
    <col min="10" max="10" width="16.28515625" customWidth="1"/>
  </cols>
  <sheetData>
    <row r="1" spans="1:4" x14ac:dyDescent="0.25">
      <c r="A1" s="8" t="s">
        <v>83</v>
      </c>
      <c r="B1" s="8" t="s">
        <v>81</v>
      </c>
      <c r="C1" s="8" t="s">
        <v>87</v>
      </c>
      <c r="D1" s="8" t="s">
        <v>85</v>
      </c>
    </row>
    <row r="2" spans="1:4" x14ac:dyDescent="0.25">
      <c r="A2" s="8" t="s">
        <v>44</v>
      </c>
      <c r="B2" s="8">
        <v>12500</v>
      </c>
      <c r="C2" s="8">
        <v>268.5</v>
      </c>
      <c r="D2" s="8">
        <f>C2/B2</f>
        <v>2.1479999999999999E-2</v>
      </c>
    </row>
    <row r="3" spans="1:4" x14ac:dyDescent="0.25">
      <c r="A3" s="8" t="s">
        <v>249</v>
      </c>
      <c r="B3" s="8">
        <v>12500</v>
      </c>
      <c r="C3" s="8">
        <v>167.99</v>
      </c>
      <c r="D3" s="8">
        <f t="shared" ref="D3:D31" si="0">C3/B3</f>
        <v>1.34392E-2</v>
      </c>
    </row>
    <row r="4" spans="1:4" x14ac:dyDescent="0.25">
      <c r="A4" s="8" t="s">
        <v>250</v>
      </c>
      <c r="B4" s="8">
        <v>12500</v>
      </c>
      <c r="C4" s="8">
        <v>141.30000000000001</v>
      </c>
      <c r="D4" s="8">
        <f t="shared" si="0"/>
        <v>1.1304000000000002E-2</v>
      </c>
    </row>
    <row r="5" spans="1:4" x14ac:dyDescent="0.25">
      <c r="A5" s="8" t="s">
        <v>84</v>
      </c>
      <c r="B5" s="8">
        <v>25000</v>
      </c>
      <c r="C5" s="8">
        <v>750</v>
      </c>
      <c r="D5" s="8">
        <f t="shared" si="0"/>
        <v>0.03</v>
      </c>
    </row>
    <row r="6" spans="1:4" x14ac:dyDescent="0.25">
      <c r="A6" s="8" t="s">
        <v>45</v>
      </c>
      <c r="B6" s="8">
        <v>1000</v>
      </c>
      <c r="C6" s="8">
        <v>43.9</v>
      </c>
      <c r="D6" s="8">
        <f t="shared" si="0"/>
        <v>4.3900000000000002E-2</v>
      </c>
    </row>
    <row r="7" spans="1:4" x14ac:dyDescent="0.25">
      <c r="A7" s="8" t="s">
        <v>46</v>
      </c>
      <c r="B7" s="8">
        <v>1000</v>
      </c>
      <c r="C7" s="8">
        <v>117</v>
      </c>
      <c r="D7" s="8">
        <f t="shared" si="0"/>
        <v>0.11700000000000001</v>
      </c>
    </row>
    <row r="8" spans="1:4" x14ac:dyDescent="0.25">
      <c r="A8" s="8" t="s">
        <v>112</v>
      </c>
      <c r="B8" s="8">
        <v>1000</v>
      </c>
      <c r="C8" s="8">
        <v>90</v>
      </c>
      <c r="D8" s="8">
        <f t="shared" si="0"/>
        <v>0.09</v>
      </c>
    </row>
    <row r="9" spans="1:4" x14ac:dyDescent="0.25">
      <c r="A9" s="8" t="s">
        <v>106</v>
      </c>
      <c r="B9" s="8">
        <v>1000</v>
      </c>
      <c r="C9" s="17">
        <f>'Cost of Macs'!G2</f>
        <v>100.8230384954452</v>
      </c>
      <c r="D9" s="17">
        <f>C9/B9</f>
        <v>0.1008230384954452</v>
      </c>
    </row>
    <row r="10" spans="1:4" x14ac:dyDescent="0.25">
      <c r="A10" s="8" t="s">
        <v>107</v>
      </c>
      <c r="B10" s="8">
        <v>1000</v>
      </c>
      <c r="C10" s="8">
        <v>240</v>
      </c>
      <c r="D10" s="8">
        <f t="shared" si="0"/>
        <v>0.24</v>
      </c>
    </row>
    <row r="11" spans="1:4" x14ac:dyDescent="0.25">
      <c r="A11" s="8" t="s">
        <v>49</v>
      </c>
      <c r="B11" s="8">
        <v>1</v>
      </c>
      <c r="C11" s="8">
        <v>2.5</v>
      </c>
      <c r="D11" s="8">
        <f t="shared" si="0"/>
        <v>2.5</v>
      </c>
    </row>
    <row r="12" spans="1:4" x14ac:dyDescent="0.25">
      <c r="A12" s="27" t="s">
        <v>131</v>
      </c>
      <c r="B12" s="27">
        <v>20000</v>
      </c>
      <c r="C12" s="27">
        <v>520</v>
      </c>
      <c r="D12" s="27">
        <f>C12/B12</f>
        <v>2.5999999999999999E-2</v>
      </c>
    </row>
    <row r="13" spans="1:4" x14ac:dyDescent="0.25">
      <c r="A13" s="27" t="s">
        <v>132</v>
      </c>
      <c r="B13" s="27">
        <v>1000</v>
      </c>
      <c r="C13" s="27">
        <v>85</v>
      </c>
      <c r="D13" s="27">
        <f t="shared" si="0"/>
        <v>8.5000000000000006E-2</v>
      </c>
    </row>
    <row r="14" spans="1:4" x14ac:dyDescent="0.25">
      <c r="A14" s="27" t="s">
        <v>133</v>
      </c>
      <c r="B14" s="27">
        <v>150</v>
      </c>
      <c r="C14" s="27">
        <v>60</v>
      </c>
      <c r="D14" s="27">
        <f t="shared" si="0"/>
        <v>0.4</v>
      </c>
    </row>
    <row r="15" spans="1:4" x14ac:dyDescent="0.25">
      <c r="A15" s="27" t="s">
        <v>134</v>
      </c>
      <c r="B15" s="27">
        <v>500</v>
      </c>
      <c r="C15" s="27">
        <v>110</v>
      </c>
      <c r="D15" s="27">
        <f t="shared" si="0"/>
        <v>0.22</v>
      </c>
    </row>
    <row r="16" spans="1:4" x14ac:dyDescent="0.25">
      <c r="A16" s="27" t="s">
        <v>135</v>
      </c>
      <c r="B16" s="27">
        <v>500</v>
      </c>
      <c r="C16" s="27">
        <v>60</v>
      </c>
      <c r="D16" s="27">
        <f>C16/B16</f>
        <v>0.12</v>
      </c>
    </row>
    <row r="17" spans="1:4" x14ac:dyDescent="0.25">
      <c r="A17" s="27" t="s">
        <v>136</v>
      </c>
      <c r="B17" s="27">
        <v>500</v>
      </c>
      <c r="C17" s="27">
        <v>60</v>
      </c>
      <c r="D17" s="27">
        <f t="shared" si="0"/>
        <v>0.12</v>
      </c>
    </row>
    <row r="18" spans="1:4" x14ac:dyDescent="0.25">
      <c r="A18" s="27" t="s">
        <v>137</v>
      </c>
      <c r="B18" s="27">
        <v>500</v>
      </c>
      <c r="C18" s="27">
        <v>60</v>
      </c>
      <c r="D18" s="27">
        <f t="shared" si="0"/>
        <v>0.12</v>
      </c>
    </row>
    <row r="19" spans="1:4" x14ac:dyDescent="0.25">
      <c r="A19" s="27" t="s">
        <v>191</v>
      </c>
      <c r="B19" s="27">
        <v>1000</v>
      </c>
      <c r="C19" s="27">
        <v>100</v>
      </c>
      <c r="D19" s="27">
        <f t="shared" si="0"/>
        <v>0.1</v>
      </c>
    </row>
    <row r="20" spans="1:4" x14ac:dyDescent="0.25">
      <c r="A20" s="27" t="s">
        <v>198</v>
      </c>
      <c r="B20" s="27">
        <v>2500</v>
      </c>
      <c r="C20" s="27">
        <v>50</v>
      </c>
      <c r="D20" s="27">
        <f t="shared" si="0"/>
        <v>0.02</v>
      </c>
    </row>
    <row r="21" spans="1:4" x14ac:dyDescent="0.25">
      <c r="A21" s="27" t="s">
        <v>199</v>
      </c>
      <c r="B21" s="27">
        <v>1</v>
      </c>
      <c r="C21" s="27">
        <v>6</v>
      </c>
      <c r="D21" s="27">
        <f t="shared" si="0"/>
        <v>6</v>
      </c>
    </row>
    <row r="22" spans="1:4" x14ac:dyDescent="0.25">
      <c r="A22" s="27" t="s">
        <v>267</v>
      </c>
      <c r="B22" s="27">
        <v>2000</v>
      </c>
      <c r="C22" s="27">
        <v>78</v>
      </c>
      <c r="D22" s="27">
        <f t="shared" si="0"/>
        <v>3.9E-2</v>
      </c>
    </row>
    <row r="23" spans="1:4" x14ac:dyDescent="0.25">
      <c r="A23" s="27" t="s">
        <v>268</v>
      </c>
      <c r="B23" s="27">
        <v>1000</v>
      </c>
      <c r="C23" s="27">
        <v>79</v>
      </c>
      <c r="D23" s="27">
        <f t="shared" si="0"/>
        <v>7.9000000000000001E-2</v>
      </c>
    </row>
    <row r="24" spans="1:4" x14ac:dyDescent="0.25">
      <c r="A24" s="27" t="s">
        <v>269</v>
      </c>
      <c r="B24" s="27">
        <v>100</v>
      </c>
      <c r="C24" s="27">
        <v>42</v>
      </c>
      <c r="D24" s="27">
        <f t="shared" si="0"/>
        <v>0.42</v>
      </c>
    </row>
    <row r="25" spans="1:4" x14ac:dyDescent="0.25">
      <c r="A25" s="27" t="s">
        <v>270</v>
      </c>
      <c r="B25" s="27">
        <v>200</v>
      </c>
      <c r="C25" s="27">
        <v>30</v>
      </c>
      <c r="D25" s="27">
        <f t="shared" si="0"/>
        <v>0.15</v>
      </c>
    </row>
    <row r="26" spans="1:4" x14ac:dyDescent="0.25">
      <c r="A26" s="27" t="s">
        <v>271</v>
      </c>
      <c r="B26" s="27">
        <v>150</v>
      </c>
      <c r="C26" s="27">
        <v>69</v>
      </c>
      <c r="D26" s="27">
        <f t="shared" si="0"/>
        <v>0.46</v>
      </c>
    </row>
    <row r="27" spans="1:4" x14ac:dyDescent="0.25">
      <c r="A27" s="27" t="s">
        <v>272</v>
      </c>
      <c r="B27" s="27">
        <v>500</v>
      </c>
      <c r="C27" s="27">
        <v>32</v>
      </c>
      <c r="D27" s="27">
        <f t="shared" si="0"/>
        <v>6.4000000000000001E-2</v>
      </c>
    </row>
    <row r="28" spans="1:4" x14ac:dyDescent="0.25">
      <c r="A28" s="27" t="s">
        <v>273</v>
      </c>
      <c r="B28" s="27">
        <v>500</v>
      </c>
      <c r="C28" s="27">
        <v>64</v>
      </c>
      <c r="D28" s="27">
        <f t="shared" si="0"/>
        <v>0.128</v>
      </c>
    </row>
    <row r="29" spans="1:4" x14ac:dyDescent="0.25">
      <c r="A29" s="27" t="s">
        <v>274</v>
      </c>
      <c r="B29" s="27">
        <v>1000</v>
      </c>
      <c r="C29" s="27">
        <v>45</v>
      </c>
      <c r="D29" s="27">
        <f t="shared" si="0"/>
        <v>4.4999999999999998E-2</v>
      </c>
    </row>
    <row r="30" spans="1:4" x14ac:dyDescent="0.25">
      <c r="A30" s="27" t="s">
        <v>275</v>
      </c>
      <c r="B30" s="27">
        <v>1000</v>
      </c>
      <c r="C30" s="27">
        <v>65</v>
      </c>
      <c r="D30" s="27">
        <f t="shared" si="0"/>
        <v>6.5000000000000002E-2</v>
      </c>
    </row>
    <row r="31" spans="1:4" x14ac:dyDescent="0.25">
      <c r="A31" s="27" t="s">
        <v>285</v>
      </c>
      <c r="B31" s="27">
        <v>2000</v>
      </c>
      <c r="C31" s="27">
        <v>60</v>
      </c>
      <c r="D31" s="27">
        <f t="shared" si="0"/>
        <v>0.03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1833-F7DA-4D90-B8F7-C21999F703FF}">
  <dimension ref="A1:F63"/>
  <sheetViews>
    <sheetView workbookViewId="0">
      <selection activeCell="D31" sqref="D31"/>
    </sheetView>
  </sheetViews>
  <sheetFormatPr defaultRowHeight="15" x14ac:dyDescent="0.25"/>
  <cols>
    <col min="1" max="1" width="35.7109375" bestFit="1" customWidth="1"/>
    <col min="2" max="2" width="18" bestFit="1" customWidth="1"/>
    <col min="3" max="3" width="16" bestFit="1" customWidth="1"/>
    <col min="4" max="4" width="22.5703125" bestFit="1" customWidth="1"/>
  </cols>
  <sheetData>
    <row r="1" spans="1:5" x14ac:dyDescent="0.25">
      <c r="A1" t="s">
        <v>98</v>
      </c>
    </row>
    <row r="2" spans="1:5" x14ac:dyDescent="0.25">
      <c r="A2" t="s">
        <v>43</v>
      </c>
      <c r="B2" t="s">
        <v>40</v>
      </c>
      <c r="C2" t="s">
        <v>42</v>
      </c>
    </row>
    <row r="3" spans="1:5" x14ac:dyDescent="0.25">
      <c r="A3" s="2">
        <f>Overheads!$D$32</f>
        <v>236.36363636363637</v>
      </c>
      <c r="B3" s="2">
        <v>205</v>
      </c>
      <c r="C3" s="2">
        <f>SUM(A3:B3)</f>
        <v>441.36363636363637</v>
      </c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 t="s">
        <v>243</v>
      </c>
      <c r="C7" s="2"/>
      <c r="D7" s="2"/>
      <c r="E7" s="2"/>
    </row>
    <row r="8" spans="1:5" x14ac:dyDescent="0.25">
      <c r="A8" s="2" t="s">
        <v>80</v>
      </c>
      <c r="B8" s="2" t="s">
        <v>81</v>
      </c>
      <c r="C8" s="2" t="s">
        <v>101</v>
      </c>
      <c r="D8" s="2" t="s">
        <v>100</v>
      </c>
      <c r="E8" s="2"/>
    </row>
    <row r="9" spans="1:5" x14ac:dyDescent="0.25">
      <c r="A9" s="2" t="s">
        <v>44</v>
      </c>
      <c r="B9" s="2">
        <v>5000</v>
      </c>
      <c r="C9" s="2">
        <f>$D$47*B9</f>
        <v>107.39999999999999</v>
      </c>
      <c r="D9" s="2">
        <f>SUM(C9/15)</f>
        <v>7.1599999999999993</v>
      </c>
      <c r="E9" s="2"/>
    </row>
    <row r="10" spans="1:5" x14ac:dyDescent="0.25">
      <c r="A10" s="2" t="s">
        <v>50</v>
      </c>
      <c r="B10" s="2">
        <v>10000</v>
      </c>
      <c r="C10" s="2">
        <f>B10*D53</f>
        <v>1008.230384954452</v>
      </c>
      <c r="D10" s="2">
        <f>SUM(C10/10)</f>
        <v>100.8230384954452</v>
      </c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 t="s">
        <v>17</v>
      </c>
      <c r="B13" s="2">
        <f>SUM(B9:B10)</f>
        <v>15000</v>
      </c>
      <c r="C13" s="2">
        <f>SUM(C9:C10)</f>
        <v>1115.630384954452</v>
      </c>
      <c r="D13" s="2">
        <f>SUM(D9+D10)</f>
        <v>107.9830384954452</v>
      </c>
      <c r="E13" s="2"/>
    </row>
    <row r="14" spans="1:5" x14ac:dyDescent="0.25">
      <c r="A14" s="2"/>
      <c r="B14" s="2" t="s">
        <v>242</v>
      </c>
      <c r="C14" s="2"/>
      <c r="D14" s="2">
        <f>SUM(D9+D10)</f>
        <v>107.9830384954452</v>
      </c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 t="s">
        <v>102</v>
      </c>
      <c r="B16" s="2">
        <f>C3</f>
        <v>441.36363636363637</v>
      </c>
      <c r="C16" s="2"/>
      <c r="D16" s="2"/>
      <c r="E16" s="2"/>
    </row>
    <row r="17" spans="1:6" x14ac:dyDescent="0.25">
      <c r="A17" s="2" t="s">
        <v>52</v>
      </c>
      <c r="B17" s="2">
        <f>SUM(C13)</f>
        <v>1115.630384954452</v>
      </c>
      <c r="C17" s="2"/>
      <c r="D17" s="2"/>
      <c r="E17" s="2"/>
    </row>
    <row r="18" spans="1:6" x14ac:dyDescent="0.25">
      <c r="A18" s="2"/>
      <c r="B18" s="2"/>
      <c r="C18" s="2"/>
      <c r="D18" s="2"/>
      <c r="E18" s="2"/>
    </row>
    <row r="19" spans="1:6" x14ac:dyDescent="0.25">
      <c r="A19" s="2" t="s">
        <v>103</v>
      </c>
      <c r="B19" s="2">
        <f>SUM(B16:B17)/8</f>
        <v>194.62425266476106</v>
      </c>
      <c r="C19" s="2"/>
      <c r="D19" s="2"/>
      <c r="E19" s="2"/>
    </row>
    <row r="20" spans="1:6" x14ac:dyDescent="0.25">
      <c r="A20" s="2"/>
      <c r="B20" s="2"/>
      <c r="C20" s="2"/>
      <c r="D20" s="2"/>
      <c r="E20" s="2"/>
    </row>
    <row r="21" spans="1:6" x14ac:dyDescent="0.25">
      <c r="A21" s="2"/>
      <c r="B21" s="2"/>
      <c r="C21" s="2"/>
      <c r="D21" s="2"/>
      <c r="E21" s="2"/>
    </row>
    <row r="22" spans="1:6" x14ac:dyDescent="0.25">
      <c r="A22" s="2"/>
      <c r="B22" s="2"/>
      <c r="C22" s="2"/>
      <c r="D22" s="2"/>
      <c r="E22" s="2"/>
    </row>
    <row r="23" spans="1:6" x14ac:dyDescent="0.25">
      <c r="A23" s="2"/>
      <c r="B23" s="2" t="s">
        <v>140</v>
      </c>
      <c r="C23" s="2" t="s">
        <v>141</v>
      </c>
      <c r="D23" s="2" t="s">
        <v>142</v>
      </c>
      <c r="E23" s="2" t="s">
        <v>143</v>
      </c>
      <c r="F23" t="s">
        <v>144</v>
      </c>
    </row>
    <row r="24" spans="1:6" x14ac:dyDescent="0.25">
      <c r="A24" s="2" t="s">
        <v>104</v>
      </c>
      <c r="B24" s="2">
        <v>3</v>
      </c>
      <c r="C24" s="2">
        <v>2</v>
      </c>
      <c r="D24" s="2">
        <v>1</v>
      </c>
      <c r="E24" s="2">
        <v>0.5</v>
      </c>
      <c r="F24">
        <v>0.5</v>
      </c>
    </row>
    <row r="25" spans="1:6" x14ac:dyDescent="0.25">
      <c r="A25" s="2" t="s">
        <v>105</v>
      </c>
      <c r="B25" s="2">
        <v>1.5</v>
      </c>
      <c r="C25" s="2">
        <v>1.5</v>
      </c>
      <c r="D25" s="2">
        <v>1.5</v>
      </c>
      <c r="E25" s="2">
        <v>1.5</v>
      </c>
      <c r="F25">
        <v>1.5</v>
      </c>
    </row>
    <row r="26" spans="1:6" x14ac:dyDescent="0.25">
      <c r="A26" s="2" t="s">
        <v>95</v>
      </c>
      <c r="B26" s="2">
        <f>SUM(18/2)</f>
        <v>9</v>
      </c>
      <c r="C26" s="2">
        <f>SUM(18/4)</f>
        <v>4.5</v>
      </c>
      <c r="D26" s="2">
        <f>SUM(18/10)</f>
        <v>1.8</v>
      </c>
      <c r="E26" s="2">
        <f>SUM(18/20)</f>
        <v>0.9</v>
      </c>
      <c r="F26">
        <f>SUM(18/40)</f>
        <v>0.45</v>
      </c>
    </row>
    <row r="27" spans="1:6" x14ac:dyDescent="0.25">
      <c r="A27" s="2"/>
      <c r="B27" s="2"/>
      <c r="C27" s="2"/>
      <c r="D27" s="2"/>
      <c r="E27" s="2"/>
    </row>
    <row r="28" spans="1:6" x14ac:dyDescent="0.25">
      <c r="A28" s="2"/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2"/>
      <c r="B31" s="2"/>
      <c r="C31" s="2"/>
      <c r="D31" s="2"/>
      <c r="E31" s="2"/>
    </row>
    <row r="32" spans="1:6" x14ac:dyDescent="0.25">
      <c r="A32" s="2"/>
      <c r="B32" s="2"/>
      <c r="C32" s="2"/>
      <c r="D32" s="2"/>
      <c r="E32" s="2"/>
    </row>
    <row r="33" spans="1:6" x14ac:dyDescent="0.25">
      <c r="A33" s="2"/>
      <c r="B33" s="2"/>
      <c r="C33" s="2"/>
      <c r="D33" s="2"/>
      <c r="E33" s="2"/>
    </row>
    <row r="34" spans="1:6" x14ac:dyDescent="0.25">
      <c r="A34" s="2"/>
      <c r="B34" s="2"/>
      <c r="C34" s="2"/>
      <c r="D34" s="2"/>
      <c r="E34" s="2"/>
    </row>
    <row r="35" spans="1:6" x14ac:dyDescent="0.25">
      <c r="A35" s="2" t="s">
        <v>42</v>
      </c>
      <c r="B35" s="2">
        <f>SUM($B$19+B24+B25+B26)</f>
        <v>208.12425266476106</v>
      </c>
      <c r="C35" s="2">
        <f>SUM(($B$19/2)+C24+C25+C26)</f>
        <v>105.31212633238053</v>
      </c>
      <c r="D35" s="2">
        <f>SUM(($B$19/5)+D24+D25+D26)</f>
        <v>43.22485053295221</v>
      </c>
      <c r="E35" s="2">
        <f>SUM(($B$19/10)+E24+E25+E26)</f>
        <v>22.362425266476105</v>
      </c>
      <c r="F35">
        <f>SUM(($B$19/20)+F24+F25+F26)</f>
        <v>12.181212633238053</v>
      </c>
    </row>
    <row r="36" spans="1:6" x14ac:dyDescent="0.25">
      <c r="A36" s="2" t="s">
        <v>92</v>
      </c>
      <c r="B36" s="2">
        <f>SUM((B35*0.3)+B35)</f>
        <v>270.56152846418939</v>
      </c>
      <c r="C36" s="2">
        <f>SUM((C35*0.3)+C35)</f>
        <v>136.9057642320947</v>
      </c>
      <c r="D36" s="2">
        <f t="shared" ref="D36:F36" si="0">SUM((D35*0.3)+D35)</f>
        <v>56.192305692837877</v>
      </c>
      <c r="E36" s="2">
        <f t="shared" si="0"/>
        <v>29.071152846418936</v>
      </c>
      <c r="F36">
        <f t="shared" si="0"/>
        <v>15.835576423209467</v>
      </c>
    </row>
    <row r="37" spans="1:6" x14ac:dyDescent="0.25">
      <c r="A37" s="2" t="s">
        <v>93</v>
      </c>
      <c r="B37" s="2">
        <f>((B36*0.15)+B36)</f>
        <v>311.14575773381779</v>
      </c>
      <c r="C37" s="2">
        <f t="shared" ref="C37:F37" si="1">((C36*0.15)+C36)</f>
        <v>157.4416288669089</v>
      </c>
      <c r="D37" s="2">
        <f t="shared" si="1"/>
        <v>64.621151546763556</v>
      </c>
      <c r="E37" s="2">
        <f t="shared" si="1"/>
        <v>33.431825773381775</v>
      </c>
      <c r="F37">
        <f t="shared" si="1"/>
        <v>18.210912886690888</v>
      </c>
    </row>
    <row r="46" spans="1:6" x14ac:dyDescent="0.25">
      <c r="A46" s="8" t="str">
        <f>'Cost of Ingredients'!A1</f>
        <v>Cost of ingredients</v>
      </c>
      <c r="B46" s="8" t="str">
        <f>'Cost of Ingredients'!B1</f>
        <v>Quantity</v>
      </c>
      <c r="C46" s="8" t="str">
        <f>'Cost of Ingredients'!C1</f>
        <v>Cost (23.10.2023)</v>
      </c>
      <c r="D46" s="8" t="str">
        <f>'Cost of Ingredients'!D1</f>
        <v>Unit Cost</v>
      </c>
    </row>
    <row r="47" spans="1:6" x14ac:dyDescent="0.25">
      <c r="A47" s="8" t="str">
        <f>'Cost of Ingredients'!A2</f>
        <v>Sugar</v>
      </c>
      <c r="B47" s="17">
        <f>'Cost of Ingredients'!B2</f>
        <v>12500</v>
      </c>
      <c r="C47" s="17">
        <f>'Cost of Ingredients'!C2</f>
        <v>268.5</v>
      </c>
      <c r="D47" s="17">
        <f>'Cost of Ingredients'!D2</f>
        <v>2.1479999999999999E-2</v>
      </c>
    </row>
    <row r="48" spans="1:6" x14ac:dyDescent="0.25">
      <c r="A48" s="8" t="str">
        <f>'Cost of Ingredients'!A3</f>
        <v>Flour White</v>
      </c>
      <c r="B48" s="17">
        <f>'Cost of Ingredients'!B3</f>
        <v>12500</v>
      </c>
      <c r="C48" s="17">
        <f>'Cost of Ingredients'!C3</f>
        <v>167.99</v>
      </c>
      <c r="D48" s="17">
        <f>'Cost of Ingredients'!D3</f>
        <v>1.34392E-2</v>
      </c>
    </row>
    <row r="49" spans="1:4" x14ac:dyDescent="0.25">
      <c r="A49" s="8" t="str">
        <f>'Cost of Ingredients'!A5</f>
        <v>Margerine</v>
      </c>
      <c r="B49" s="17">
        <f>'Cost of Ingredients'!B5</f>
        <v>25000</v>
      </c>
      <c r="C49" s="17">
        <f>'Cost of Ingredients'!C5</f>
        <v>750</v>
      </c>
      <c r="D49" s="17">
        <f>'Cost of Ingredients'!D5</f>
        <v>0.03</v>
      </c>
    </row>
    <row r="50" spans="1:4" x14ac:dyDescent="0.25">
      <c r="A50" s="8" t="str">
        <f>'Cost of Ingredients'!A6</f>
        <v>Creame</v>
      </c>
      <c r="B50" s="17">
        <f>'Cost of Ingredients'!B6</f>
        <v>1000</v>
      </c>
      <c r="C50" s="17">
        <f>'Cost of Ingredients'!C6</f>
        <v>43.9</v>
      </c>
      <c r="D50" s="17">
        <f>'Cost of Ingredients'!D6</f>
        <v>4.3900000000000002E-2</v>
      </c>
    </row>
    <row r="51" spans="1:4" x14ac:dyDescent="0.25">
      <c r="A51" s="8" t="str">
        <f>'Cost of Ingredients'!A7</f>
        <v>Honey</v>
      </c>
      <c r="B51" s="17">
        <f>'Cost of Ingredients'!B7</f>
        <v>1000</v>
      </c>
      <c r="C51" s="17">
        <f>'Cost of Ingredients'!C7</f>
        <v>117</v>
      </c>
      <c r="D51" s="17">
        <f>'Cost of Ingredients'!D7</f>
        <v>0.11700000000000001</v>
      </c>
    </row>
    <row r="52" spans="1:4" x14ac:dyDescent="0.25">
      <c r="A52" s="8" t="str">
        <f>'Cost of Ingredients'!A8</f>
        <v>Chocolate</v>
      </c>
      <c r="B52" s="17">
        <f>'Cost of Ingredients'!B8</f>
        <v>1000</v>
      </c>
      <c r="C52" s="17">
        <f>'Cost of Ingredients'!C8</f>
        <v>90</v>
      </c>
      <c r="D52" s="17">
        <f>'Cost of Ingredients'!D8</f>
        <v>0.09</v>
      </c>
    </row>
    <row r="53" spans="1:4" x14ac:dyDescent="0.25">
      <c r="A53" s="8" t="str">
        <f>'Cost of Ingredients'!A9</f>
        <v>Macadamia Nuts</v>
      </c>
      <c r="B53" s="17">
        <f>'Cost of Ingredients'!B9</f>
        <v>1000</v>
      </c>
      <c r="C53" s="17">
        <f>'Cost of Ingredients'!C9</f>
        <v>100.8230384954452</v>
      </c>
      <c r="D53" s="17">
        <f>'Cost of Ingredients'!D9</f>
        <v>0.1008230384954452</v>
      </c>
    </row>
    <row r="54" spans="1:4" x14ac:dyDescent="0.25">
      <c r="A54" s="8" t="str">
        <f>'Cost of Ingredients'!A10</f>
        <v>Pecan Nuts</v>
      </c>
      <c r="B54" s="17">
        <f>'Cost of Ingredients'!B10</f>
        <v>1000</v>
      </c>
      <c r="C54" s="17">
        <f>'Cost of Ingredients'!C10</f>
        <v>240</v>
      </c>
      <c r="D54" s="17">
        <f>'Cost of Ingredients'!D10</f>
        <v>0.24</v>
      </c>
    </row>
    <row r="55" spans="1:4" x14ac:dyDescent="0.25">
      <c r="A55" s="8" t="str">
        <f>'Cost of Ingredients'!A11</f>
        <v>Eggs</v>
      </c>
      <c r="B55" s="8">
        <f>'Cost of Ingredients'!B11</f>
        <v>1</v>
      </c>
      <c r="C55" s="8">
        <f>'Cost of Ingredients'!C11</f>
        <v>2.5</v>
      </c>
      <c r="D55" s="8">
        <f>'Cost of Ingredients'!D11</f>
        <v>2.5</v>
      </c>
    </row>
    <row r="56" spans="1:4" x14ac:dyDescent="0.25">
      <c r="A56" s="8" t="str">
        <f>'Cost of Ingredients'!A12</f>
        <v>Palm Oil</v>
      </c>
      <c r="B56" s="8">
        <f>'Cost of Ingredients'!B12</f>
        <v>20000</v>
      </c>
      <c r="C56" s="8">
        <f>'Cost of Ingredients'!C12</f>
        <v>520</v>
      </c>
      <c r="D56" s="8">
        <f>'Cost of Ingredients'!D12</f>
        <v>2.5999999999999999E-2</v>
      </c>
    </row>
    <row r="57" spans="1:4" x14ac:dyDescent="0.25">
      <c r="A57" s="8" t="str">
        <f>'Cost of Ingredients'!A13</f>
        <v>Six Guns Spice</v>
      </c>
      <c r="B57" s="8">
        <f>'Cost of Ingredients'!B13</f>
        <v>1000</v>
      </c>
      <c r="C57" s="8">
        <f>'Cost of Ingredients'!C13</f>
        <v>85</v>
      </c>
      <c r="D57" s="8">
        <f>'Cost of Ingredients'!D13</f>
        <v>8.5000000000000006E-2</v>
      </c>
    </row>
    <row r="58" spans="1:4" x14ac:dyDescent="0.25">
      <c r="A58" s="8" t="str">
        <f>'Cost of Ingredients'!A14</f>
        <v>Nutritional Yeast</v>
      </c>
      <c r="B58" s="8">
        <f>'Cost of Ingredients'!B14</f>
        <v>150</v>
      </c>
      <c r="C58" s="8">
        <f>'Cost of Ingredients'!C14</f>
        <v>60</v>
      </c>
      <c r="D58" s="8">
        <f>'Cost of Ingredients'!D14</f>
        <v>0.4</v>
      </c>
    </row>
    <row r="59" spans="1:4" x14ac:dyDescent="0.25">
      <c r="A59" s="8" t="str">
        <f>'Cost of Ingredients'!A15</f>
        <v>Salt and Pepper</v>
      </c>
      <c r="B59" s="8">
        <f>'Cost of Ingredients'!B15</f>
        <v>500</v>
      </c>
      <c r="C59" s="8">
        <f>'Cost of Ingredients'!C15</f>
        <v>110</v>
      </c>
      <c r="D59" s="8">
        <f>'Cost of Ingredients'!D15</f>
        <v>0.22</v>
      </c>
    </row>
    <row r="60" spans="1:4" x14ac:dyDescent="0.25">
      <c r="A60" s="8" t="str">
        <f>'Cost of Ingredients'!A16</f>
        <v>Paprika</v>
      </c>
      <c r="B60" s="8">
        <f>'Cost of Ingredients'!B16</f>
        <v>500</v>
      </c>
      <c r="C60" s="8">
        <f>'Cost of Ingredients'!C16</f>
        <v>60</v>
      </c>
      <c r="D60" s="8">
        <f>'Cost of Ingredients'!D16</f>
        <v>0.12</v>
      </c>
    </row>
    <row r="61" spans="1:4" x14ac:dyDescent="0.25">
      <c r="A61" s="8" t="str">
        <f>'Cost of Ingredients'!A17</f>
        <v>Turmeric</v>
      </c>
      <c r="B61" s="8">
        <f>'Cost of Ingredients'!B17</f>
        <v>500</v>
      </c>
      <c r="C61" s="8">
        <f>'Cost of Ingredients'!C17</f>
        <v>60</v>
      </c>
      <c r="D61" s="8">
        <f>'Cost of Ingredients'!D17</f>
        <v>0.12</v>
      </c>
    </row>
    <row r="62" spans="1:4" x14ac:dyDescent="0.25">
      <c r="A62" s="8" t="str">
        <f>'Cost of Ingredients'!A18</f>
        <v>Herbs</v>
      </c>
      <c r="B62" s="8">
        <f>'Cost of Ingredients'!B18</f>
        <v>500</v>
      </c>
      <c r="C62" s="8">
        <f>'Cost of Ingredients'!C18</f>
        <v>60</v>
      </c>
      <c r="D62" s="8">
        <f>'Cost of Ingredients'!D18</f>
        <v>0.12</v>
      </c>
    </row>
    <row r="63" spans="1:4" x14ac:dyDescent="0.25">
      <c r="A63" t="str">
        <f>'Cost of Ingredients'!A19</f>
        <v>Turmeric Root</v>
      </c>
      <c r="B63">
        <f>'Cost of Ingredients'!B19</f>
        <v>1000</v>
      </c>
      <c r="C63">
        <f>'Cost of Ingredients'!C19</f>
        <v>100</v>
      </c>
      <c r="D63">
        <f>'Cost of Ingredients'!D19</f>
        <v>0.1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8C85-E79A-4102-9649-5F851E017906}">
  <dimension ref="A1:G63"/>
  <sheetViews>
    <sheetView workbookViewId="0">
      <selection activeCell="A47" sqref="A47:D63"/>
    </sheetView>
  </sheetViews>
  <sheetFormatPr defaultRowHeight="15" x14ac:dyDescent="0.25"/>
  <cols>
    <col min="1" max="1" width="35.7109375" bestFit="1" customWidth="1"/>
    <col min="2" max="2" width="18.140625" bestFit="1" customWidth="1"/>
    <col min="3" max="3" width="16.140625" bestFit="1" customWidth="1"/>
    <col min="4" max="4" width="22.7109375" bestFit="1" customWidth="1"/>
    <col min="5" max="6" width="10.5703125" bestFit="1" customWidth="1"/>
  </cols>
  <sheetData>
    <row r="1" spans="1:4" x14ac:dyDescent="0.25">
      <c r="A1" t="s">
        <v>170</v>
      </c>
    </row>
    <row r="2" spans="1:4" x14ac:dyDescent="0.25">
      <c r="A2" t="s">
        <v>43</v>
      </c>
      <c r="B2" t="s">
        <v>40</v>
      </c>
      <c r="C2" t="s">
        <v>42</v>
      </c>
    </row>
    <row r="3" spans="1:4" x14ac:dyDescent="0.25">
      <c r="A3">
        <f>Overheads!$D$32</f>
        <v>236.36363636363637</v>
      </c>
      <c r="B3">
        <v>205</v>
      </c>
      <c r="C3">
        <f>SUM(A3:B3)</f>
        <v>441.36363636363637</v>
      </c>
    </row>
    <row r="7" spans="1:4" x14ac:dyDescent="0.25">
      <c r="B7" t="s">
        <v>189</v>
      </c>
    </row>
    <row r="8" spans="1:4" x14ac:dyDescent="0.25">
      <c r="A8" t="s">
        <v>80</v>
      </c>
      <c r="B8" t="s">
        <v>81</v>
      </c>
      <c r="C8" t="s">
        <v>101</v>
      </c>
      <c r="D8" t="s">
        <v>188</v>
      </c>
    </row>
    <row r="9" spans="1:4" x14ac:dyDescent="0.25">
      <c r="A9" t="s">
        <v>138</v>
      </c>
      <c r="B9">
        <v>250</v>
      </c>
      <c r="C9">
        <f>$D$57*B9</f>
        <v>21.25</v>
      </c>
      <c r="D9" s="2">
        <f>SUM(C9/15)</f>
        <v>1.4166666666666667</v>
      </c>
    </row>
    <row r="10" spans="1:4" x14ac:dyDescent="0.25">
      <c r="A10" t="s">
        <v>50</v>
      </c>
      <c r="B10">
        <v>15000</v>
      </c>
      <c r="C10">
        <f>B10*$D$53</f>
        <v>1512.3455774316781</v>
      </c>
      <c r="D10">
        <f>SUM(C10/15)</f>
        <v>100.8230384954452</v>
      </c>
    </row>
    <row r="11" spans="1:4" x14ac:dyDescent="0.25">
      <c r="A11" t="s">
        <v>139</v>
      </c>
      <c r="B11">
        <v>5000</v>
      </c>
      <c r="C11">
        <f>(B11*D56)/5</f>
        <v>26</v>
      </c>
      <c r="D11" s="2">
        <f>C11/15</f>
        <v>1.7333333333333334</v>
      </c>
    </row>
    <row r="13" spans="1:4" x14ac:dyDescent="0.25">
      <c r="A13" t="s">
        <v>17</v>
      </c>
      <c r="B13">
        <f>SUM(B9:B10)</f>
        <v>15250</v>
      </c>
      <c r="C13">
        <f>SUM(C9:C11)</f>
        <v>1559.5955774316781</v>
      </c>
      <c r="D13" s="2">
        <f>SUM(D9+D10+D11)</f>
        <v>103.97303849544521</v>
      </c>
    </row>
    <row r="14" spans="1:4" x14ac:dyDescent="0.25">
      <c r="B14" t="s">
        <v>99</v>
      </c>
      <c r="D14" s="2">
        <f>SUM(D9+D10+D11)</f>
        <v>103.97303849544521</v>
      </c>
    </row>
    <row r="16" spans="1:4" x14ac:dyDescent="0.25">
      <c r="A16" t="s">
        <v>102</v>
      </c>
      <c r="B16">
        <f>C3</f>
        <v>441.36363636363637</v>
      </c>
    </row>
    <row r="17" spans="1:7" x14ac:dyDescent="0.25">
      <c r="A17" t="s">
        <v>52</v>
      </c>
      <c r="B17">
        <f>SUM(C13)</f>
        <v>1559.5955774316781</v>
      </c>
    </row>
    <row r="19" spans="1:7" x14ac:dyDescent="0.25">
      <c r="A19" t="s">
        <v>103</v>
      </c>
      <c r="B19">
        <f>SUM(B16:B17)/15</f>
        <v>133.39728091968763</v>
      </c>
    </row>
    <row r="22" spans="1:7" x14ac:dyDescent="0.25">
      <c r="B22" t="s">
        <v>140</v>
      </c>
      <c r="C22" t="s">
        <v>141</v>
      </c>
      <c r="D22" t="s">
        <v>142</v>
      </c>
      <c r="E22" t="s">
        <v>143</v>
      </c>
      <c r="F22" t="s">
        <v>144</v>
      </c>
      <c r="G22" t="s">
        <v>187</v>
      </c>
    </row>
    <row r="23" spans="1:7" x14ac:dyDescent="0.25">
      <c r="A23" t="s">
        <v>186</v>
      </c>
      <c r="B23">
        <v>3</v>
      </c>
      <c r="C23">
        <v>2</v>
      </c>
      <c r="D23">
        <v>1</v>
      </c>
      <c r="E23">
        <v>0.5</v>
      </c>
      <c r="F23">
        <v>0.5</v>
      </c>
      <c r="G23">
        <v>0.5</v>
      </c>
    </row>
    <row r="24" spans="1:7" x14ac:dyDescent="0.25">
      <c r="A24" t="s">
        <v>105</v>
      </c>
      <c r="B24">
        <v>1.5</v>
      </c>
      <c r="C24">
        <v>1.5</v>
      </c>
      <c r="D24">
        <v>0.76</v>
      </c>
      <c r="E24">
        <v>0.76</v>
      </c>
      <c r="F24">
        <v>0.76</v>
      </c>
      <c r="G24">
        <v>0.76</v>
      </c>
    </row>
    <row r="25" spans="1:7" x14ac:dyDescent="0.25">
      <c r="A25" t="s">
        <v>95</v>
      </c>
      <c r="B25">
        <f>SUM(18/2)</f>
        <v>9</v>
      </c>
      <c r="C25">
        <f>SUM(18/4)</f>
        <v>4.5</v>
      </c>
      <c r="D25">
        <f>SUM(18/10)</f>
        <v>1.8</v>
      </c>
      <c r="E25">
        <f>SUM(18/20)</f>
        <v>0.9</v>
      </c>
      <c r="F25">
        <f>SUM(18/40)</f>
        <v>0.45</v>
      </c>
      <c r="G25">
        <f>SUM(18/100)</f>
        <v>0.18</v>
      </c>
    </row>
    <row r="34" spans="1:7" x14ac:dyDescent="0.25">
      <c r="A34" t="s">
        <v>42</v>
      </c>
      <c r="B34" s="2">
        <f>SUM($B$19+B23+B24+B25)</f>
        <v>146.89728091968763</v>
      </c>
      <c r="C34" s="2">
        <f>SUM(($B$19/2)+C23+C24+C25)</f>
        <v>74.698640459843816</v>
      </c>
      <c r="D34" s="2">
        <f>SUM(($B$19/5)+D23+D24+D25)</f>
        <v>30.239456183937527</v>
      </c>
      <c r="E34" s="2">
        <f>SUM(($B$19/10)+E23+E24+E25)</f>
        <v>15.499728091968763</v>
      </c>
      <c r="F34" s="2">
        <f>SUM(($B$19/20)+F23+F24+F25)</f>
        <v>8.3798640459843803</v>
      </c>
      <c r="G34" s="2">
        <f>SUM(($B$19/25)+G23+G24+G25)</f>
        <v>6.7758912367875048</v>
      </c>
    </row>
    <row r="35" spans="1:7" x14ac:dyDescent="0.25">
      <c r="A35" t="s">
        <v>92</v>
      </c>
      <c r="B35" s="2">
        <f>SUM((B34*0.3)+B34)</f>
        <v>190.96646519559391</v>
      </c>
      <c r="C35" s="2">
        <f>SUM((C34*0.3)+C34)</f>
        <v>97.108232597796956</v>
      </c>
      <c r="D35" s="2">
        <f t="shared" ref="D35:F35" si="0">SUM((D34*0.3)+D34)</f>
        <v>39.311293039118787</v>
      </c>
      <c r="E35" s="2">
        <f t="shared" si="0"/>
        <v>20.14964651955939</v>
      </c>
      <c r="F35" s="2">
        <f t="shared" si="0"/>
        <v>10.893823259779694</v>
      </c>
      <c r="G35" s="2">
        <f t="shared" ref="G35" si="1">SUM((G34*0.3)+G34)</f>
        <v>8.8086586078237552</v>
      </c>
    </row>
    <row r="36" spans="1:7" x14ac:dyDescent="0.25">
      <c r="A36" t="s">
        <v>93</v>
      </c>
      <c r="B36" s="2">
        <f>((B35*0.15)+B35)</f>
        <v>219.61143497493299</v>
      </c>
      <c r="C36" s="2">
        <f t="shared" ref="C36" si="2">((C35*0.15)+C35)</f>
        <v>111.6744674874665</v>
      </c>
      <c r="D36" s="2">
        <f t="shared" ref="D36" si="3">((D35*0.15)+D35)</f>
        <v>45.207986994986605</v>
      </c>
      <c r="E36" s="2">
        <f t="shared" ref="E36" si="4">((E35*0.15)+E35)</f>
        <v>23.1720934974933</v>
      </c>
      <c r="F36" s="2">
        <f t="shared" ref="F36:G36" si="5">((F35*0.15)+F35)</f>
        <v>12.527896748746649</v>
      </c>
      <c r="G36" s="2">
        <f t="shared" si="5"/>
        <v>10.129957398997318</v>
      </c>
    </row>
    <row r="46" spans="1:7" x14ac:dyDescent="0.25">
      <c r="A46" t="str">
        <f>'Cost of Ingredients'!A1</f>
        <v>Cost of ingredients</v>
      </c>
      <c r="B46" t="str">
        <f>'Cost of Ingredients'!B1</f>
        <v>Quantity</v>
      </c>
      <c r="C46" t="str">
        <f>'Cost of Ingredients'!C1</f>
        <v>Cost (23.10.2023)</v>
      </c>
      <c r="D46" t="str">
        <f>'Cost of Ingredients'!D1</f>
        <v>Unit Cost</v>
      </c>
    </row>
    <row r="47" spans="1:7" x14ac:dyDescent="0.25">
      <c r="A47" t="str">
        <f>'Cost of Ingredients'!A2</f>
        <v>Sugar</v>
      </c>
      <c r="B47">
        <f>'Cost of Ingredients'!B2</f>
        <v>12500</v>
      </c>
      <c r="C47">
        <f>'Cost of Ingredients'!C2</f>
        <v>268.5</v>
      </c>
      <c r="D47">
        <f>'Cost of Ingredients'!D2</f>
        <v>2.1479999999999999E-2</v>
      </c>
    </row>
    <row r="48" spans="1:7" x14ac:dyDescent="0.25">
      <c r="A48" t="str">
        <f>'Cost of Ingredients'!A3</f>
        <v>Flour White</v>
      </c>
      <c r="B48">
        <f>'Cost of Ingredients'!B3</f>
        <v>12500</v>
      </c>
      <c r="C48">
        <f>'Cost of Ingredients'!C3</f>
        <v>167.99</v>
      </c>
      <c r="D48">
        <f>'Cost of Ingredients'!D3</f>
        <v>1.34392E-2</v>
      </c>
    </row>
    <row r="49" spans="1:4" x14ac:dyDescent="0.25">
      <c r="A49" t="str">
        <f>'Cost of Ingredients'!A5</f>
        <v>Margerine</v>
      </c>
      <c r="B49">
        <f>'Cost of Ingredients'!B5</f>
        <v>25000</v>
      </c>
      <c r="C49">
        <f>'Cost of Ingredients'!C5</f>
        <v>750</v>
      </c>
      <c r="D49">
        <f>'Cost of Ingredients'!D5</f>
        <v>0.03</v>
      </c>
    </row>
    <row r="50" spans="1:4" x14ac:dyDescent="0.25">
      <c r="A50" t="str">
        <f>'Cost of Ingredients'!A6</f>
        <v>Creame</v>
      </c>
      <c r="B50">
        <f>'Cost of Ingredients'!B6</f>
        <v>1000</v>
      </c>
      <c r="C50">
        <f>'Cost of Ingredients'!C6</f>
        <v>43.9</v>
      </c>
      <c r="D50">
        <f>'Cost of Ingredients'!D6</f>
        <v>4.3900000000000002E-2</v>
      </c>
    </row>
    <row r="51" spans="1:4" x14ac:dyDescent="0.25">
      <c r="A51" t="str">
        <f>'Cost of Ingredients'!A7</f>
        <v>Honey</v>
      </c>
      <c r="B51">
        <f>'Cost of Ingredients'!B7</f>
        <v>1000</v>
      </c>
      <c r="C51">
        <f>'Cost of Ingredients'!C7</f>
        <v>117</v>
      </c>
      <c r="D51">
        <f>'Cost of Ingredients'!D7</f>
        <v>0.11700000000000001</v>
      </c>
    </row>
    <row r="52" spans="1:4" x14ac:dyDescent="0.25">
      <c r="A52" t="str">
        <f>'Cost of Ingredients'!A8</f>
        <v>Chocolate</v>
      </c>
      <c r="B52">
        <f>'Cost of Ingredients'!B8</f>
        <v>1000</v>
      </c>
      <c r="C52">
        <f>'Cost of Ingredients'!C8</f>
        <v>90</v>
      </c>
      <c r="D52">
        <f>'Cost of Ingredients'!D8</f>
        <v>0.09</v>
      </c>
    </row>
    <row r="53" spans="1:4" x14ac:dyDescent="0.25">
      <c r="A53" t="str">
        <f>'Cost of Ingredients'!A9</f>
        <v>Macadamia Nuts</v>
      </c>
      <c r="B53">
        <f>'Cost of Ingredients'!B9</f>
        <v>1000</v>
      </c>
      <c r="C53">
        <f>'Cost of Ingredients'!C9</f>
        <v>100.8230384954452</v>
      </c>
      <c r="D53">
        <f>'Cost of Ingredients'!D9</f>
        <v>0.1008230384954452</v>
      </c>
    </row>
    <row r="54" spans="1:4" x14ac:dyDescent="0.25">
      <c r="A54" t="str">
        <f>'Cost of Ingredients'!A10</f>
        <v>Pecan Nuts</v>
      </c>
      <c r="B54">
        <f>'Cost of Ingredients'!B10</f>
        <v>1000</v>
      </c>
      <c r="C54">
        <f>'Cost of Ingredients'!C10</f>
        <v>240</v>
      </c>
      <c r="D54">
        <f>'Cost of Ingredients'!D10</f>
        <v>0.24</v>
      </c>
    </row>
    <row r="55" spans="1:4" x14ac:dyDescent="0.25">
      <c r="A55" t="str">
        <f>'Cost of Ingredients'!A11</f>
        <v>Eggs</v>
      </c>
      <c r="B55">
        <f>'Cost of Ingredients'!B11</f>
        <v>1</v>
      </c>
      <c r="C55">
        <f>'Cost of Ingredients'!C11</f>
        <v>2.5</v>
      </c>
      <c r="D55">
        <f>'Cost of Ingredients'!D11</f>
        <v>2.5</v>
      </c>
    </row>
    <row r="56" spans="1:4" x14ac:dyDescent="0.25">
      <c r="A56" t="str">
        <f>'Cost of Ingredients'!A12</f>
        <v>Palm Oil</v>
      </c>
      <c r="B56">
        <f>'Cost of Ingredients'!B12</f>
        <v>20000</v>
      </c>
      <c r="C56">
        <f>'Cost of Ingredients'!C12</f>
        <v>520</v>
      </c>
      <c r="D56">
        <f>'Cost of Ingredients'!D12</f>
        <v>2.5999999999999999E-2</v>
      </c>
    </row>
    <row r="57" spans="1:4" x14ac:dyDescent="0.25">
      <c r="A57" t="str">
        <f>'Cost of Ingredients'!A13</f>
        <v>Six Guns Spice</v>
      </c>
      <c r="B57">
        <f>'Cost of Ingredients'!B13</f>
        <v>1000</v>
      </c>
      <c r="C57">
        <f>'Cost of Ingredients'!C13</f>
        <v>85</v>
      </c>
      <c r="D57">
        <f>'Cost of Ingredients'!D13</f>
        <v>8.5000000000000006E-2</v>
      </c>
    </row>
    <row r="58" spans="1:4" x14ac:dyDescent="0.25">
      <c r="A58" t="str">
        <f>'Cost of Ingredients'!A14</f>
        <v>Nutritional Yeast</v>
      </c>
      <c r="B58">
        <f>'Cost of Ingredients'!B14</f>
        <v>150</v>
      </c>
      <c r="C58">
        <f>'Cost of Ingredients'!C14</f>
        <v>60</v>
      </c>
      <c r="D58">
        <f>'Cost of Ingredients'!D14</f>
        <v>0.4</v>
      </c>
    </row>
    <row r="59" spans="1:4" x14ac:dyDescent="0.25">
      <c r="A59" t="str">
        <f>'Cost of Ingredients'!A15</f>
        <v>Salt and Pepper</v>
      </c>
      <c r="B59">
        <f>'Cost of Ingredients'!B15</f>
        <v>500</v>
      </c>
      <c r="C59">
        <f>'Cost of Ingredients'!C15</f>
        <v>110</v>
      </c>
      <c r="D59">
        <f>'Cost of Ingredients'!D15</f>
        <v>0.22</v>
      </c>
    </row>
    <row r="60" spans="1:4" x14ac:dyDescent="0.25">
      <c r="A60" t="str">
        <f>'Cost of Ingredients'!A16</f>
        <v>Paprika</v>
      </c>
      <c r="B60">
        <f>'Cost of Ingredients'!B16</f>
        <v>500</v>
      </c>
      <c r="C60">
        <f>'Cost of Ingredients'!C16</f>
        <v>60</v>
      </c>
      <c r="D60">
        <f>'Cost of Ingredients'!D16</f>
        <v>0.12</v>
      </c>
    </row>
    <row r="61" spans="1:4" x14ac:dyDescent="0.25">
      <c r="A61" t="str">
        <f>'Cost of Ingredients'!A17</f>
        <v>Turmeric</v>
      </c>
      <c r="B61">
        <f>'Cost of Ingredients'!B17</f>
        <v>500</v>
      </c>
      <c r="C61">
        <f>'Cost of Ingredients'!C17</f>
        <v>60</v>
      </c>
      <c r="D61">
        <f>'Cost of Ingredients'!D17</f>
        <v>0.12</v>
      </c>
    </row>
    <row r="62" spans="1:4" x14ac:dyDescent="0.25">
      <c r="A62" t="str">
        <f>'Cost of Ingredients'!A18</f>
        <v>Herbs</v>
      </c>
      <c r="B62">
        <f>'Cost of Ingredients'!B18</f>
        <v>500</v>
      </c>
      <c r="C62">
        <f>'Cost of Ingredients'!C18</f>
        <v>60</v>
      </c>
      <c r="D62">
        <f>'Cost of Ingredients'!D18</f>
        <v>0.12</v>
      </c>
    </row>
    <row r="63" spans="1:4" x14ac:dyDescent="0.25">
      <c r="A63" t="str">
        <f>'Cost of Ingredients'!A19</f>
        <v>Turmeric Root</v>
      </c>
      <c r="B63">
        <f>'Cost of Ingredients'!B19</f>
        <v>1000</v>
      </c>
      <c r="C63">
        <f>'Cost of Ingredients'!C19</f>
        <v>100</v>
      </c>
      <c r="D63">
        <f>'Cost of Ingredients'!D19</f>
        <v>0.1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DE10-D1DB-4432-91C6-384B37ED815C}">
  <dimension ref="A1:D66"/>
  <sheetViews>
    <sheetView topLeftCell="A53" workbookViewId="0">
      <selection activeCell="D22" sqref="D22"/>
    </sheetView>
  </sheetViews>
  <sheetFormatPr defaultRowHeight="15" x14ac:dyDescent="0.25"/>
  <cols>
    <col min="1" max="1" width="35.7109375" bestFit="1" customWidth="1"/>
    <col min="2" max="2" width="25.5703125" bestFit="1" customWidth="1"/>
    <col min="3" max="3" width="16" bestFit="1" customWidth="1"/>
    <col min="4" max="4" width="26.140625" bestFit="1" customWidth="1"/>
  </cols>
  <sheetData>
    <row r="1" spans="1:4" x14ac:dyDescent="0.25">
      <c r="A1" t="s">
        <v>127</v>
      </c>
    </row>
    <row r="2" spans="1:4" x14ac:dyDescent="0.25">
      <c r="A2" t="s">
        <v>43</v>
      </c>
      <c r="B2" t="s">
        <v>40</v>
      </c>
      <c r="C2" t="s">
        <v>42</v>
      </c>
    </row>
    <row r="3" spans="1:4" x14ac:dyDescent="0.25">
      <c r="A3" s="2">
        <f>Overheads!$D$32</f>
        <v>236.36363636363637</v>
      </c>
      <c r="B3" s="2">
        <v>205</v>
      </c>
      <c r="C3" s="2">
        <f>SUM(A3:B3)</f>
        <v>441.36363636363637</v>
      </c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 t="s">
        <v>244</v>
      </c>
      <c r="C7" s="2"/>
      <c r="D7" s="2"/>
    </row>
    <row r="8" spans="1:4" x14ac:dyDescent="0.25">
      <c r="A8" s="3" t="s">
        <v>80</v>
      </c>
      <c r="B8" s="3" t="s">
        <v>81</v>
      </c>
      <c r="C8" s="3" t="s">
        <v>101</v>
      </c>
      <c r="D8" s="3"/>
    </row>
    <row r="9" spans="1:4" x14ac:dyDescent="0.25">
      <c r="A9" s="2" t="s">
        <v>50</v>
      </c>
      <c r="B9" s="2">
        <v>8</v>
      </c>
      <c r="C9" s="2">
        <f>B9*'Caramel Macadamia'!B19</f>
        <v>1556.9940213180885</v>
      </c>
      <c r="D9" s="2"/>
    </row>
    <row r="10" spans="1:4" x14ac:dyDescent="0.25">
      <c r="A10" s="2" t="s">
        <v>112</v>
      </c>
      <c r="B10" s="2">
        <v>2000</v>
      </c>
      <c r="C10" s="2">
        <f>B10*D55</f>
        <v>180</v>
      </c>
      <c r="D10" s="2"/>
    </row>
    <row r="11" spans="1:4" x14ac:dyDescent="0.25">
      <c r="A11" s="2"/>
      <c r="B11" s="2"/>
      <c r="C11" s="2"/>
      <c r="D11" s="2"/>
    </row>
    <row r="12" spans="1:4" x14ac:dyDescent="0.25">
      <c r="A12" s="2" t="s">
        <v>17</v>
      </c>
      <c r="B12" s="2">
        <f>SUM(B9:B11)</f>
        <v>2008</v>
      </c>
      <c r="C12" s="2">
        <f>SUM(C9:C11)</f>
        <v>1736.9940213180885</v>
      </c>
      <c r="D12" s="2"/>
    </row>
    <row r="13" spans="1:4" x14ac:dyDescent="0.25">
      <c r="A13" s="2"/>
      <c r="B13" s="2" t="s">
        <v>242</v>
      </c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 t="s">
        <v>102</v>
      </c>
      <c r="B15" s="2">
        <f>C3</f>
        <v>441.36363636363637</v>
      </c>
      <c r="C15" s="2"/>
      <c r="D15" s="2"/>
    </row>
    <row r="16" spans="1:4" x14ac:dyDescent="0.25">
      <c r="A16" s="2" t="s">
        <v>52</v>
      </c>
      <c r="B16" s="2">
        <f>SUM(C12)</f>
        <v>1736.9940213180885</v>
      </c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D19" s="2"/>
    </row>
    <row r="20" spans="1:4" x14ac:dyDescent="0.25">
      <c r="A20" s="2" t="s">
        <v>119</v>
      </c>
      <c r="B20" s="2">
        <f>SUM(B15:B16)/8</f>
        <v>272.29470721021562</v>
      </c>
      <c r="C20" s="2">
        <f>SUM(B15:B16)/8</f>
        <v>272.29470721021562</v>
      </c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 t="s">
        <v>120</v>
      </c>
      <c r="C22" s="2" t="s">
        <v>121</v>
      </c>
      <c r="D22" s="2"/>
    </row>
    <row r="23" spans="1:4" x14ac:dyDescent="0.25">
      <c r="A23" s="2"/>
      <c r="B23" s="2">
        <f>B20*0.2</f>
        <v>54.458941442043127</v>
      </c>
      <c r="C23" s="2">
        <f>C20*0.085</f>
        <v>23.145050112868329</v>
      </c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 t="s">
        <v>104</v>
      </c>
      <c r="B26" s="2">
        <v>6</v>
      </c>
      <c r="C26" s="2">
        <v>3.5</v>
      </c>
      <c r="D26" s="2"/>
    </row>
    <row r="27" spans="1:4" x14ac:dyDescent="0.25">
      <c r="A27" s="2" t="s">
        <v>105</v>
      </c>
      <c r="B27" s="2">
        <v>1.5</v>
      </c>
      <c r="C27" s="2">
        <v>2.5</v>
      </c>
      <c r="D27" s="2"/>
    </row>
    <row r="28" spans="1:4" x14ac:dyDescent="0.25">
      <c r="A28" s="2" t="s">
        <v>95</v>
      </c>
      <c r="B28" s="2">
        <f>SUM(18/10)</f>
        <v>1.8</v>
      </c>
      <c r="C28" s="2">
        <f>SUM(18/10)</f>
        <v>1.8</v>
      </c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 t="s">
        <v>42</v>
      </c>
      <c r="B37" s="2">
        <f>SUM(B23:B35)</f>
        <v>63.758941442043124</v>
      </c>
      <c r="C37" s="2">
        <f>SUM(C23:C35)</f>
        <v>30.94505011286833</v>
      </c>
      <c r="D37" s="2"/>
    </row>
    <row r="38" spans="1:4" x14ac:dyDescent="0.25">
      <c r="A38" s="2" t="s">
        <v>92</v>
      </c>
      <c r="B38" s="2">
        <f>SUM((B37*0.3)+B37)</f>
        <v>82.886623874656067</v>
      </c>
      <c r="C38" s="2">
        <f>SUM((C37*0.3)+C37)</f>
        <v>40.228565146728826</v>
      </c>
      <c r="D38" s="2"/>
    </row>
    <row r="39" spans="1:4" x14ac:dyDescent="0.25">
      <c r="A39" s="2" t="s">
        <v>93</v>
      </c>
      <c r="B39" s="2">
        <f>((B38*0.15)+B38)</f>
        <v>95.319617455854484</v>
      </c>
      <c r="C39" s="2">
        <f>((C38*0.15)+C38)</f>
        <v>46.262849918738148</v>
      </c>
      <c r="D39" s="2"/>
    </row>
    <row r="40" spans="1:4" x14ac:dyDescent="0.25">
      <c r="A40" s="2"/>
      <c r="B40" s="2"/>
      <c r="C40" s="2"/>
      <c r="D40" s="2"/>
    </row>
    <row r="49" spans="1:4" x14ac:dyDescent="0.25">
      <c r="A49" s="8" t="str">
        <f>'Cost of Ingredients'!A1</f>
        <v>Cost of ingredients</v>
      </c>
      <c r="B49" s="8" t="str">
        <f>'Cost of Ingredients'!B1</f>
        <v>Quantity</v>
      </c>
      <c r="C49" s="8" t="str">
        <f>'Cost of Ingredients'!C1</f>
        <v>Cost (23.10.2023)</v>
      </c>
      <c r="D49" s="8" t="str">
        <f>'Cost of Ingredients'!D1</f>
        <v>Unit Cost</v>
      </c>
    </row>
    <row r="50" spans="1:4" x14ac:dyDescent="0.25">
      <c r="A50" s="8" t="str">
        <f>'Cost of Ingredients'!A2</f>
        <v>Sugar</v>
      </c>
      <c r="B50" s="17">
        <f>'Cost of Ingredients'!B2</f>
        <v>12500</v>
      </c>
      <c r="C50" s="17">
        <f>'Cost of Ingredients'!C2</f>
        <v>268.5</v>
      </c>
      <c r="D50" s="17">
        <f>'Cost of Ingredients'!D2</f>
        <v>2.1479999999999999E-2</v>
      </c>
    </row>
    <row r="51" spans="1:4" x14ac:dyDescent="0.25">
      <c r="A51" s="8" t="str">
        <f>'Cost of Ingredients'!A3</f>
        <v>Flour White</v>
      </c>
      <c r="B51" s="17">
        <f>'Cost of Ingredients'!B3</f>
        <v>12500</v>
      </c>
      <c r="C51" s="17">
        <f>'Cost of Ingredients'!C3</f>
        <v>167.99</v>
      </c>
      <c r="D51" s="17">
        <f>'Cost of Ingredients'!D3</f>
        <v>1.34392E-2</v>
      </c>
    </row>
    <row r="52" spans="1:4" x14ac:dyDescent="0.25">
      <c r="A52" s="8" t="str">
        <f>'Cost of Ingredients'!A5</f>
        <v>Margerine</v>
      </c>
      <c r="B52" s="17">
        <f>'Cost of Ingredients'!B5</f>
        <v>25000</v>
      </c>
      <c r="C52" s="17">
        <f>'Cost of Ingredients'!C5</f>
        <v>750</v>
      </c>
      <c r="D52" s="17">
        <f>'Cost of Ingredients'!D5</f>
        <v>0.03</v>
      </c>
    </row>
    <row r="53" spans="1:4" x14ac:dyDescent="0.25">
      <c r="A53" s="8" t="str">
        <f>'Cost of Ingredients'!A6</f>
        <v>Creame</v>
      </c>
      <c r="B53" s="17">
        <f>'Cost of Ingredients'!B6</f>
        <v>1000</v>
      </c>
      <c r="C53" s="17">
        <f>'Cost of Ingredients'!C6</f>
        <v>43.9</v>
      </c>
      <c r="D53" s="17">
        <f>'Cost of Ingredients'!D6</f>
        <v>4.3900000000000002E-2</v>
      </c>
    </row>
    <row r="54" spans="1:4" x14ac:dyDescent="0.25">
      <c r="A54" s="8" t="str">
        <f>'Cost of Ingredients'!A7</f>
        <v>Honey</v>
      </c>
      <c r="B54" s="17">
        <f>'Cost of Ingredients'!B7</f>
        <v>1000</v>
      </c>
      <c r="C54" s="17">
        <f>'Cost of Ingredients'!C7</f>
        <v>117</v>
      </c>
      <c r="D54" s="17">
        <f>'Cost of Ingredients'!D7</f>
        <v>0.11700000000000001</v>
      </c>
    </row>
    <row r="55" spans="1:4" x14ac:dyDescent="0.25">
      <c r="A55" s="8" t="str">
        <f>'Cost of Ingredients'!A8</f>
        <v>Chocolate</v>
      </c>
      <c r="B55" s="17">
        <f>'Cost of Ingredients'!B8</f>
        <v>1000</v>
      </c>
      <c r="C55" s="17">
        <f>'Cost of Ingredients'!C8</f>
        <v>90</v>
      </c>
      <c r="D55" s="17">
        <f>'Cost of Ingredients'!D8</f>
        <v>0.09</v>
      </c>
    </row>
    <row r="56" spans="1:4" x14ac:dyDescent="0.25">
      <c r="A56" s="8" t="str">
        <f>'Cost of Ingredients'!A9</f>
        <v>Macadamia Nuts</v>
      </c>
      <c r="B56" s="17">
        <f>'Cost of Ingredients'!B9</f>
        <v>1000</v>
      </c>
      <c r="C56" s="17">
        <f>'Cost of Ingredients'!C9</f>
        <v>100.8230384954452</v>
      </c>
      <c r="D56" s="17">
        <f>'Cost of Ingredients'!D9</f>
        <v>0.1008230384954452</v>
      </c>
    </row>
    <row r="57" spans="1:4" x14ac:dyDescent="0.25">
      <c r="A57" s="8" t="str">
        <f>'Cost of Ingredients'!A10</f>
        <v>Pecan Nuts</v>
      </c>
      <c r="B57" s="17">
        <f>'Cost of Ingredients'!B10</f>
        <v>1000</v>
      </c>
      <c r="C57" s="17">
        <f>'Cost of Ingredients'!C10</f>
        <v>240</v>
      </c>
      <c r="D57" s="17">
        <f>'Cost of Ingredients'!D10</f>
        <v>0.24</v>
      </c>
    </row>
    <row r="58" spans="1:4" x14ac:dyDescent="0.25">
      <c r="A58" s="8" t="str">
        <f>'Cost of Ingredients'!A11</f>
        <v>Eggs</v>
      </c>
      <c r="B58" s="8">
        <f>'Cost of Ingredients'!B11</f>
        <v>1</v>
      </c>
      <c r="C58" s="8">
        <f>'Cost of Ingredients'!C11</f>
        <v>2.5</v>
      </c>
      <c r="D58" s="8">
        <f>'Cost of Ingredients'!D11</f>
        <v>2.5</v>
      </c>
    </row>
    <row r="59" spans="1:4" x14ac:dyDescent="0.25">
      <c r="A59" s="8" t="str">
        <f>'Cost of Ingredients'!A12</f>
        <v>Palm Oil</v>
      </c>
      <c r="B59" s="8">
        <f>'Cost of Ingredients'!B12</f>
        <v>20000</v>
      </c>
      <c r="C59" s="8">
        <f>'Cost of Ingredients'!C12</f>
        <v>520</v>
      </c>
      <c r="D59" s="8">
        <f>'Cost of Ingredients'!D12</f>
        <v>2.5999999999999999E-2</v>
      </c>
    </row>
    <row r="60" spans="1:4" x14ac:dyDescent="0.25">
      <c r="A60" s="8" t="str">
        <f>'Cost of Ingredients'!A13</f>
        <v>Six Guns Spice</v>
      </c>
      <c r="B60" s="8">
        <f>'Cost of Ingredients'!B13</f>
        <v>1000</v>
      </c>
      <c r="C60" s="8">
        <f>'Cost of Ingredients'!C13</f>
        <v>85</v>
      </c>
      <c r="D60" s="8">
        <f>'Cost of Ingredients'!D13</f>
        <v>8.5000000000000006E-2</v>
      </c>
    </row>
    <row r="61" spans="1:4" x14ac:dyDescent="0.25">
      <c r="A61" s="8" t="str">
        <f>'Cost of Ingredients'!A14</f>
        <v>Nutritional Yeast</v>
      </c>
      <c r="B61" s="8">
        <f>'Cost of Ingredients'!B14</f>
        <v>150</v>
      </c>
      <c r="C61" s="8">
        <f>'Cost of Ingredients'!C14</f>
        <v>60</v>
      </c>
      <c r="D61" s="8">
        <f>'Cost of Ingredients'!D14</f>
        <v>0.4</v>
      </c>
    </row>
    <row r="62" spans="1:4" x14ac:dyDescent="0.25">
      <c r="A62" s="8" t="str">
        <f>'Cost of Ingredients'!A15</f>
        <v>Salt and Pepper</v>
      </c>
      <c r="B62" s="8">
        <f>'Cost of Ingredients'!B15</f>
        <v>500</v>
      </c>
      <c r="C62" s="8">
        <f>'Cost of Ingredients'!C15</f>
        <v>110</v>
      </c>
      <c r="D62" s="8">
        <f>'Cost of Ingredients'!D15</f>
        <v>0.22</v>
      </c>
    </row>
    <row r="63" spans="1:4" x14ac:dyDescent="0.25">
      <c r="A63" s="8" t="str">
        <f>'Cost of Ingredients'!A16</f>
        <v>Paprika</v>
      </c>
      <c r="B63" s="8">
        <f>'Cost of Ingredients'!B16</f>
        <v>500</v>
      </c>
      <c r="C63" s="8">
        <f>'Cost of Ingredients'!C16</f>
        <v>60</v>
      </c>
      <c r="D63" s="8">
        <f>'Cost of Ingredients'!D16</f>
        <v>0.12</v>
      </c>
    </row>
    <row r="64" spans="1:4" x14ac:dyDescent="0.25">
      <c r="A64" s="8" t="str">
        <f>'Cost of Ingredients'!A17</f>
        <v>Turmeric</v>
      </c>
      <c r="B64" s="8">
        <f>'Cost of Ingredients'!B17</f>
        <v>500</v>
      </c>
      <c r="C64" s="8">
        <f>'Cost of Ingredients'!C17</f>
        <v>60</v>
      </c>
      <c r="D64" s="8">
        <f>'Cost of Ingredients'!D17</f>
        <v>0.12</v>
      </c>
    </row>
    <row r="65" spans="1:4" x14ac:dyDescent="0.25">
      <c r="A65" s="8" t="str">
        <f>'Cost of Ingredients'!A18</f>
        <v>Herbs</v>
      </c>
      <c r="B65" s="8">
        <f>'Cost of Ingredients'!B18</f>
        <v>500</v>
      </c>
      <c r="C65" s="8">
        <f>'Cost of Ingredients'!C18</f>
        <v>60</v>
      </c>
      <c r="D65" s="8">
        <f>'Cost of Ingredients'!D18</f>
        <v>0.12</v>
      </c>
    </row>
    <row r="66" spans="1:4" x14ac:dyDescent="0.25">
      <c r="A66" t="str">
        <f>'Cost of Ingredients'!A19</f>
        <v>Turmeric Root</v>
      </c>
      <c r="B66">
        <f>'Cost of Ingredients'!B19</f>
        <v>1000</v>
      </c>
      <c r="C66">
        <f>'Cost of Ingredients'!C19</f>
        <v>100</v>
      </c>
      <c r="D66">
        <f>'Cost of Ingredients'!D19</f>
        <v>0.1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4CB8-62FD-46BB-886E-9785E83A0260}">
  <dimension ref="A1:F63"/>
  <sheetViews>
    <sheetView topLeftCell="A3" workbookViewId="0">
      <selection activeCell="D20" sqref="D20"/>
    </sheetView>
  </sheetViews>
  <sheetFormatPr defaultRowHeight="15" x14ac:dyDescent="0.25"/>
  <cols>
    <col min="1" max="1" width="35.7109375" bestFit="1" customWidth="1"/>
    <col min="2" max="2" width="17.85546875" bestFit="1" customWidth="1"/>
    <col min="3" max="3" width="16" bestFit="1" customWidth="1"/>
    <col min="4" max="4" width="22.5703125" bestFit="1" customWidth="1"/>
    <col min="6" max="6" width="7.28515625" customWidth="1"/>
    <col min="7" max="7" width="13.42578125" bestFit="1" customWidth="1"/>
    <col min="8" max="8" width="14.7109375" bestFit="1" customWidth="1"/>
    <col min="9" max="9" width="22.5703125" bestFit="1" customWidth="1"/>
  </cols>
  <sheetData>
    <row r="1" spans="1:4" x14ac:dyDescent="0.25">
      <c r="A1" s="40" t="s">
        <v>98</v>
      </c>
      <c r="B1" s="40"/>
      <c r="C1" s="40"/>
    </row>
    <row r="2" spans="1:4" x14ac:dyDescent="0.25">
      <c r="A2" s="8" t="s">
        <v>43</v>
      </c>
      <c r="B2" s="8" t="s">
        <v>40</v>
      </c>
      <c r="C2" s="8" t="s">
        <v>42</v>
      </c>
    </row>
    <row r="3" spans="1:4" x14ac:dyDescent="0.25">
      <c r="A3" s="17">
        <f>Overheads!$D$32</f>
        <v>236.36363636363637</v>
      </c>
      <c r="B3" s="8">
        <v>205</v>
      </c>
      <c r="C3" s="17">
        <f>SUM(A3:B3)</f>
        <v>441.36363636363637</v>
      </c>
    </row>
    <row r="7" spans="1:4" x14ac:dyDescent="0.25">
      <c r="A7" s="8"/>
      <c r="B7" s="23" t="s">
        <v>243</v>
      </c>
      <c r="C7" s="8"/>
      <c r="D7" s="8"/>
    </row>
    <row r="8" spans="1:4" x14ac:dyDescent="0.25">
      <c r="A8" s="8" t="s">
        <v>80</v>
      </c>
      <c r="B8" s="18" t="s">
        <v>81</v>
      </c>
      <c r="C8" s="18" t="s">
        <v>101</v>
      </c>
      <c r="D8" s="8" t="s">
        <v>100</v>
      </c>
    </row>
    <row r="9" spans="1:4" x14ac:dyDescent="0.25">
      <c r="A9" s="8" t="s">
        <v>44</v>
      </c>
      <c r="B9" s="18">
        <v>4000</v>
      </c>
      <c r="C9" s="18">
        <f>$D$47*B9</f>
        <v>85.92</v>
      </c>
      <c r="D9" s="17">
        <f>SUM(C9/8)</f>
        <v>10.74</v>
      </c>
    </row>
    <row r="10" spans="1:4" x14ac:dyDescent="0.25">
      <c r="A10" s="8" t="s">
        <v>50</v>
      </c>
      <c r="B10" s="18">
        <v>8000</v>
      </c>
      <c r="C10" s="18">
        <f>B10*$D$54</f>
        <v>1920</v>
      </c>
      <c r="D10" s="17">
        <f>SUM(C10/8)</f>
        <v>240</v>
      </c>
    </row>
    <row r="12" spans="1:4" x14ac:dyDescent="0.25">
      <c r="A12" s="8"/>
      <c r="B12" s="18"/>
      <c r="C12" s="18"/>
      <c r="D12" s="8"/>
    </row>
    <row r="13" spans="1:4" x14ac:dyDescent="0.25">
      <c r="A13" s="8" t="s">
        <v>17</v>
      </c>
      <c r="B13" s="18">
        <f>SUM(B9:B10)</f>
        <v>12000</v>
      </c>
      <c r="C13" s="18">
        <f>SUM(C9:C10)</f>
        <v>2005.92</v>
      </c>
      <c r="D13" s="17">
        <f>SUM(D9+D10)</f>
        <v>250.74</v>
      </c>
    </row>
    <row r="14" spans="1:4" x14ac:dyDescent="0.25">
      <c r="B14" s="21" t="s">
        <v>242</v>
      </c>
      <c r="C14" s="21"/>
      <c r="D14" s="17">
        <f>SUM(D9+D10)</f>
        <v>250.74</v>
      </c>
    </row>
    <row r="16" spans="1:4" ht="15.75" customHeight="1" x14ac:dyDescent="0.25">
      <c r="A16" s="25" t="s">
        <v>102</v>
      </c>
      <c r="B16" s="2">
        <f>C3</f>
        <v>441.36363636363637</v>
      </c>
    </row>
    <row r="17" spans="1:6" x14ac:dyDescent="0.25">
      <c r="A17" t="s">
        <v>52</v>
      </c>
      <c r="B17" s="2">
        <f>SUM(C13)</f>
        <v>2005.92</v>
      </c>
    </row>
    <row r="18" spans="1:6" x14ac:dyDescent="0.25">
      <c r="B18" s="2"/>
    </row>
    <row r="19" spans="1:6" x14ac:dyDescent="0.25">
      <c r="A19" t="s">
        <v>103</v>
      </c>
      <c r="B19" s="2">
        <f>SUM(B16:B17)/8</f>
        <v>305.91045454545457</v>
      </c>
    </row>
    <row r="20" spans="1:6" x14ac:dyDescent="0.25">
      <c r="B20" s="2"/>
    </row>
    <row r="21" spans="1:6" x14ac:dyDescent="0.25">
      <c r="B21" s="2"/>
    </row>
    <row r="22" spans="1:6" x14ac:dyDescent="0.25">
      <c r="B22" s="2"/>
    </row>
    <row r="23" spans="1:6" x14ac:dyDescent="0.25">
      <c r="B23" s="2" t="s">
        <v>140</v>
      </c>
      <c r="C23" t="s">
        <v>141</v>
      </c>
      <c r="D23" t="s">
        <v>142</v>
      </c>
      <c r="E23" t="s">
        <v>143</v>
      </c>
      <c r="F23" t="s">
        <v>144</v>
      </c>
    </row>
    <row r="24" spans="1:6" x14ac:dyDescent="0.25">
      <c r="A24" t="s">
        <v>186</v>
      </c>
      <c r="B24" s="2">
        <v>3</v>
      </c>
      <c r="C24">
        <v>2</v>
      </c>
      <c r="D24">
        <v>1</v>
      </c>
      <c r="E24">
        <v>0.5</v>
      </c>
      <c r="F24">
        <v>0.5</v>
      </c>
    </row>
    <row r="25" spans="1:6" x14ac:dyDescent="0.25">
      <c r="A25" t="s">
        <v>105</v>
      </c>
      <c r="B25" s="2">
        <v>1.5</v>
      </c>
      <c r="C25">
        <v>1.5</v>
      </c>
      <c r="D25">
        <v>1.5</v>
      </c>
      <c r="E25">
        <v>1.5</v>
      </c>
      <c r="F25">
        <v>1.5</v>
      </c>
    </row>
    <row r="26" spans="1:6" x14ac:dyDescent="0.25">
      <c r="A26" t="s">
        <v>95</v>
      </c>
      <c r="B26" s="2">
        <f>SUM(18/2)</f>
        <v>9</v>
      </c>
      <c r="C26">
        <f>SUM(18/4)</f>
        <v>4.5</v>
      </c>
      <c r="D26">
        <f>SUM(18/10)</f>
        <v>1.8</v>
      </c>
      <c r="E26">
        <f>SUM(18/20)</f>
        <v>0.9</v>
      </c>
      <c r="F26">
        <f>SUM(18/40)</f>
        <v>0.45</v>
      </c>
    </row>
    <row r="27" spans="1:6" x14ac:dyDescent="0.25">
      <c r="B27" s="2"/>
    </row>
    <row r="28" spans="1:6" x14ac:dyDescent="0.25">
      <c r="B28" s="2"/>
    </row>
    <row r="29" spans="1:6" x14ac:dyDescent="0.25">
      <c r="B29" s="2"/>
    </row>
    <row r="30" spans="1:6" x14ac:dyDescent="0.25">
      <c r="B30" s="2"/>
    </row>
    <row r="31" spans="1:6" x14ac:dyDescent="0.25">
      <c r="B31" s="2"/>
    </row>
    <row r="32" spans="1:6" x14ac:dyDescent="0.25">
      <c r="B32" s="2"/>
    </row>
    <row r="33" spans="1:6" x14ac:dyDescent="0.25">
      <c r="B33" s="2"/>
    </row>
    <row r="34" spans="1:6" x14ac:dyDescent="0.25">
      <c r="B34" s="2"/>
    </row>
    <row r="35" spans="1:6" x14ac:dyDescent="0.25">
      <c r="A35" t="s">
        <v>42</v>
      </c>
      <c r="B35" s="2">
        <f>SUM($B$19+B24+B25+B26)</f>
        <v>319.41045454545457</v>
      </c>
      <c r="C35" s="2">
        <f>SUM(($B$19/2)+C24+C25+C26)</f>
        <v>160.95522727272729</v>
      </c>
      <c r="D35" s="2">
        <f>SUM(($B$19/5)+D24+D25+D26)</f>
        <v>65.482090909090914</v>
      </c>
      <c r="E35" s="2">
        <f>SUM(($B$19/10)+E24+E25+E26)</f>
        <v>33.491045454545457</v>
      </c>
      <c r="F35" s="2">
        <f>SUM(($B$19/20)+F24+F25+F26)</f>
        <v>17.745522727272729</v>
      </c>
    </row>
    <row r="36" spans="1:6" x14ac:dyDescent="0.25">
      <c r="A36" t="s">
        <v>92</v>
      </c>
      <c r="B36" s="2">
        <f>SUM((B35*0.3)+B35)</f>
        <v>415.23359090909094</v>
      </c>
      <c r="C36" s="2">
        <f>SUM((C35*0.3)+C35)</f>
        <v>209.24179545454547</v>
      </c>
      <c r="D36" s="2">
        <f t="shared" ref="D36:F36" si="0">SUM((D35*0.3)+D35)</f>
        <v>85.126718181818191</v>
      </c>
      <c r="E36" s="2">
        <f t="shared" si="0"/>
        <v>43.538359090909097</v>
      </c>
      <c r="F36" s="2">
        <f t="shared" si="0"/>
        <v>23.069179545454546</v>
      </c>
    </row>
    <row r="37" spans="1:6" x14ac:dyDescent="0.25">
      <c r="A37" t="s">
        <v>93</v>
      </c>
      <c r="B37" s="2">
        <f>((B36*0.15)+B36)</f>
        <v>477.51862954545459</v>
      </c>
      <c r="C37" s="2">
        <f t="shared" ref="C37:F37" si="1">((C36*0.15)+C36)</f>
        <v>240.62806477272727</v>
      </c>
      <c r="D37" s="2">
        <f t="shared" si="1"/>
        <v>97.895725909090913</v>
      </c>
      <c r="E37" s="2">
        <f t="shared" si="1"/>
        <v>50.06911295454546</v>
      </c>
      <c r="F37" s="2">
        <f t="shared" si="1"/>
        <v>26.529556477272727</v>
      </c>
    </row>
    <row r="46" spans="1:6" x14ac:dyDescent="0.25">
      <c r="A46" s="8" t="str">
        <f>'Cost of Ingredients'!A1</f>
        <v>Cost of ingredients</v>
      </c>
      <c r="B46" s="8" t="str">
        <f>'Cost of Ingredients'!B1</f>
        <v>Quantity</v>
      </c>
      <c r="C46" s="8" t="str">
        <f>'Cost of Ingredients'!C1</f>
        <v>Cost (23.10.2023)</v>
      </c>
      <c r="D46" s="8" t="str">
        <f>'Cost of Ingredients'!D1</f>
        <v>Unit Cost</v>
      </c>
    </row>
    <row r="47" spans="1:6" x14ac:dyDescent="0.25">
      <c r="A47" s="8" t="str">
        <f>'Cost of Ingredients'!A2</f>
        <v>Sugar</v>
      </c>
      <c r="B47" s="8">
        <f>'Cost of Ingredients'!B2</f>
        <v>12500</v>
      </c>
      <c r="C47" s="8">
        <f>'Cost of Ingredients'!C2</f>
        <v>268.5</v>
      </c>
      <c r="D47" s="8">
        <f>'Cost of Ingredients'!D2</f>
        <v>2.1479999999999999E-2</v>
      </c>
    </row>
    <row r="48" spans="1:6" x14ac:dyDescent="0.25">
      <c r="A48" s="8" t="str">
        <f>'Cost of Ingredients'!A3</f>
        <v>Flour White</v>
      </c>
      <c r="B48" s="8">
        <f>'Cost of Ingredients'!B3</f>
        <v>12500</v>
      </c>
      <c r="C48" s="8">
        <f>'Cost of Ingredients'!C3</f>
        <v>167.99</v>
      </c>
      <c r="D48" s="8">
        <f>'Cost of Ingredients'!D3</f>
        <v>1.34392E-2</v>
      </c>
    </row>
    <row r="49" spans="1:4" x14ac:dyDescent="0.25">
      <c r="A49" s="8" t="str">
        <f>'Cost of Ingredients'!A5</f>
        <v>Margerine</v>
      </c>
      <c r="B49" s="8">
        <f>'Cost of Ingredients'!B5</f>
        <v>25000</v>
      </c>
      <c r="C49" s="8">
        <f>'Cost of Ingredients'!C5</f>
        <v>750</v>
      </c>
      <c r="D49" s="8">
        <f>'Cost of Ingredients'!D5</f>
        <v>0.03</v>
      </c>
    </row>
    <row r="50" spans="1:4" x14ac:dyDescent="0.25">
      <c r="A50" s="8" t="str">
        <f>'Cost of Ingredients'!A6</f>
        <v>Creame</v>
      </c>
      <c r="B50" s="8">
        <f>'Cost of Ingredients'!B6</f>
        <v>1000</v>
      </c>
      <c r="C50" s="8">
        <f>'Cost of Ingredients'!C6</f>
        <v>43.9</v>
      </c>
      <c r="D50" s="8">
        <f>'Cost of Ingredients'!D6</f>
        <v>4.3900000000000002E-2</v>
      </c>
    </row>
    <row r="51" spans="1:4" x14ac:dyDescent="0.25">
      <c r="A51" s="8" t="str">
        <f>'Cost of Ingredients'!A7</f>
        <v>Honey</v>
      </c>
      <c r="B51" s="8">
        <f>'Cost of Ingredients'!B7</f>
        <v>1000</v>
      </c>
      <c r="C51" s="8">
        <f>'Cost of Ingredients'!C7</f>
        <v>117</v>
      </c>
      <c r="D51" s="8">
        <f>'Cost of Ingredients'!D7</f>
        <v>0.11700000000000001</v>
      </c>
    </row>
    <row r="52" spans="1:4" x14ac:dyDescent="0.25">
      <c r="A52" s="8" t="str">
        <f>'Cost of Ingredients'!A8</f>
        <v>Chocolate</v>
      </c>
      <c r="B52" s="8">
        <f>'Cost of Ingredients'!B8</f>
        <v>1000</v>
      </c>
      <c r="C52" s="8">
        <f>'Cost of Ingredients'!C8</f>
        <v>90</v>
      </c>
      <c r="D52" s="8">
        <f>'Cost of Ingredients'!D8</f>
        <v>0.09</v>
      </c>
    </row>
    <row r="53" spans="1:4" x14ac:dyDescent="0.25">
      <c r="A53" s="8" t="str">
        <f>'Cost of Ingredients'!A9</f>
        <v>Macadamia Nuts</v>
      </c>
      <c r="B53" s="8">
        <f>'Cost of Ingredients'!B9</f>
        <v>1000</v>
      </c>
      <c r="C53" s="8">
        <f>'Cost of Ingredients'!C9</f>
        <v>100.8230384954452</v>
      </c>
      <c r="D53" s="8">
        <f>'Cost of Ingredients'!D9</f>
        <v>0.1008230384954452</v>
      </c>
    </row>
    <row r="54" spans="1:4" x14ac:dyDescent="0.25">
      <c r="A54" s="8" t="str">
        <f>'Cost of Ingredients'!A10</f>
        <v>Pecan Nuts</v>
      </c>
      <c r="B54" s="8">
        <f>'Cost of Ingredients'!B10</f>
        <v>1000</v>
      </c>
      <c r="C54" s="8">
        <f>'Cost of Ingredients'!C10</f>
        <v>240</v>
      </c>
      <c r="D54" s="8">
        <f>'Cost of Ingredients'!D10</f>
        <v>0.24</v>
      </c>
    </row>
    <row r="55" spans="1:4" x14ac:dyDescent="0.25">
      <c r="A55" s="8" t="str">
        <f>'Cost of Ingredients'!A11</f>
        <v>Eggs</v>
      </c>
      <c r="B55" s="8">
        <f>'Cost of Ingredients'!B11</f>
        <v>1</v>
      </c>
      <c r="C55" s="8">
        <f>'Cost of Ingredients'!C11</f>
        <v>2.5</v>
      </c>
      <c r="D55" s="8">
        <f>'Cost of Ingredients'!D11</f>
        <v>2.5</v>
      </c>
    </row>
    <row r="56" spans="1:4" x14ac:dyDescent="0.25">
      <c r="A56" s="27" t="str">
        <f>'Cost of Ingredients'!A12</f>
        <v>Palm Oil</v>
      </c>
      <c r="B56" s="27">
        <f>'Cost of Ingredients'!B12</f>
        <v>20000</v>
      </c>
      <c r="C56" s="27">
        <f>'Cost of Ingredients'!C12</f>
        <v>520</v>
      </c>
      <c r="D56" s="27">
        <f>'Cost of Ingredients'!D12</f>
        <v>2.5999999999999999E-2</v>
      </c>
    </row>
    <row r="57" spans="1:4" x14ac:dyDescent="0.25">
      <c r="A57" s="27" t="str">
        <f>'Cost of Ingredients'!A13</f>
        <v>Six Guns Spice</v>
      </c>
      <c r="B57" s="27">
        <f>'Cost of Ingredients'!B13</f>
        <v>1000</v>
      </c>
      <c r="C57" s="27">
        <f>'Cost of Ingredients'!C13</f>
        <v>85</v>
      </c>
      <c r="D57" s="27">
        <f>'Cost of Ingredients'!D13</f>
        <v>8.5000000000000006E-2</v>
      </c>
    </row>
    <row r="58" spans="1:4" x14ac:dyDescent="0.25">
      <c r="A58" s="8" t="str">
        <f>'Cost of Ingredients'!A14</f>
        <v>Nutritional Yeast</v>
      </c>
      <c r="B58" s="8">
        <f>'Cost of Ingredients'!B14</f>
        <v>150</v>
      </c>
      <c r="C58" s="8">
        <f>'Cost of Ingredients'!C14</f>
        <v>60</v>
      </c>
      <c r="D58" s="8">
        <f>'Cost of Ingredients'!D14</f>
        <v>0.4</v>
      </c>
    </row>
    <row r="59" spans="1:4" x14ac:dyDescent="0.25">
      <c r="A59" s="8" t="str">
        <f>'Cost of Ingredients'!A15</f>
        <v>Salt and Pepper</v>
      </c>
      <c r="B59" s="8">
        <f>'Cost of Ingredients'!B15</f>
        <v>500</v>
      </c>
      <c r="C59" s="8">
        <f>'Cost of Ingredients'!C15</f>
        <v>110</v>
      </c>
      <c r="D59" s="8">
        <f>'Cost of Ingredients'!D15</f>
        <v>0.22</v>
      </c>
    </row>
    <row r="60" spans="1:4" x14ac:dyDescent="0.25">
      <c r="A60" s="8" t="str">
        <f>'Cost of Ingredients'!A16</f>
        <v>Paprika</v>
      </c>
      <c r="B60" s="8">
        <f>'Cost of Ingredients'!B16</f>
        <v>500</v>
      </c>
      <c r="C60" s="8">
        <f>'Cost of Ingredients'!C16</f>
        <v>60</v>
      </c>
      <c r="D60" s="8">
        <f>'Cost of Ingredients'!D16</f>
        <v>0.12</v>
      </c>
    </row>
    <row r="61" spans="1:4" x14ac:dyDescent="0.25">
      <c r="A61" s="8" t="str">
        <f>'Cost of Ingredients'!A17</f>
        <v>Turmeric</v>
      </c>
      <c r="B61" s="8">
        <f>'Cost of Ingredients'!B17</f>
        <v>500</v>
      </c>
      <c r="C61" s="8">
        <f>'Cost of Ingredients'!C17</f>
        <v>60</v>
      </c>
      <c r="D61" s="8">
        <f>'Cost of Ingredients'!D17</f>
        <v>0.12</v>
      </c>
    </row>
    <row r="62" spans="1:4" x14ac:dyDescent="0.25">
      <c r="A62" s="8" t="str">
        <f>'Cost of Ingredients'!A18</f>
        <v>Herbs</v>
      </c>
      <c r="B62" s="8">
        <f>'Cost of Ingredients'!B18</f>
        <v>500</v>
      </c>
      <c r="C62" s="8">
        <f>'Cost of Ingredients'!C18</f>
        <v>60</v>
      </c>
      <c r="D62" s="8">
        <f>'Cost of Ingredients'!D18</f>
        <v>0.12</v>
      </c>
    </row>
    <row r="63" spans="1:4" x14ac:dyDescent="0.25">
      <c r="A63" t="str">
        <f>'Cost of Ingredients'!A19</f>
        <v>Turmeric Root</v>
      </c>
      <c r="B63">
        <f>'Cost of Ingredients'!B19</f>
        <v>1000</v>
      </c>
      <c r="C63">
        <f>'Cost of Ingredients'!C19</f>
        <v>100</v>
      </c>
      <c r="D63">
        <f>'Cost of Ingredients'!D19</f>
        <v>0.1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G Z e V 9 t W D d + l A A A A 9 g A A A B I A H A B D b 2 5 m a W c v U G F j a 2 F n Z S 5 4 b W w g o h g A K K A U A A A A A A A A A A A A A A A A A A A A A A A A A A A A h Y + x D o I w F E V / h X S n L d X B k E d J d H C R x M T E u D a l Q i M 8 D C 3 C v z n 4 S f 6 C G E X d H O + 5 Z 7 j 3 f r 1 B O t R V c D G t s w 0 m J K K c B A Z 1 k 1 s s E t L 5 Y 7 g g q Y S t 0 i d V m G C U 0 c W D y x N S e n + O G e v 7 n v Y z 2 r Q F E 5 x H 7 J B t d r o 0 t S I f 2 f 6 X Q 4 v O K 9 S G S N i / x k h B I y G o m A v K g U 0 Q M o t f Q Y x 7 n + 0 P h F V X + a 4 1 0 m C 4 X g K b I r D 3 B / k A U E s D B B Q A A g A I A C B m X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Z l 5 X K I p H u A 4 A A A A R A A A A E w A c A E Z v c m 1 1 b G F z L 1 N l Y 3 R p b 2 4 x L m 0 g o h g A K K A U A A A A A A A A A A A A A A A A A A A A A A A A A A A A K 0 5 N L s n M z 1 M I h t C G 1 g B Q S w E C L Q A U A A I A C A A g Z l 5 X 2 1 Y N 3 6 U A A A D 2 A A A A E g A A A A A A A A A A A A A A A A A A A A A A Q 2 9 u Z m l n L 1 B h Y 2 t h Z 2 U u e G 1 s U E s B A i 0 A F A A C A A g A I G Z e V w / K 6 a u k A A A A 6 Q A A A B M A A A A A A A A A A A A A A A A A 8 Q A A A F t D b 2 5 0 Z W 5 0 X 1 R 5 c G V z X S 5 4 b W x Q S w E C L Q A U A A I A C A A g Z l 5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B p 9 e q 3 F O 0 u D T 1 + u 2 a e G 7 A A A A A A C A A A A A A A Q Z g A A A A E A A C A A A A D 3 A R U e e X m k 6 D y i z O a m k 6 p b t i B J v J Q x N K u i I M u O v J a p z w A A A A A O g A A A A A I A A C A A A A C n A k U / s + E y h y G s 2 Z E 5 c 1 0 n n E 7 a U v h 1 h p Y K x 4 5 H C d K I J 1 A A A A A p + G 3 A 2 l Y M T + 2 o w 5 0 a Z V 4 U q T 5 / t j X J J 2 O 5 T / P X V F H k l m M R N H a g Q u q 0 r b I i J 5 q W N 3 D + 5 S U 2 i B D m I K p I G P 1 d M j R 2 + R 9 7 3 / I P u c O Y c s j M N 8 N P 5 U A A A A B c Y U h r 6 x s C / q Z V e g i Q 0 T x B O 5 J 5 s l d O S 8 i Q d h u Z K Y M a L P x B U w n 3 O C C A b z Q I X D B L f Y 6 A B A u x V Y T N W O 4 7 9 8 9 / u u 8 2 < / D a t a M a s h u p > 
</file>

<file path=customXml/itemProps1.xml><?xml version="1.0" encoding="utf-8"?>
<ds:datastoreItem xmlns:ds="http://schemas.openxmlformats.org/officeDocument/2006/customXml" ds:itemID="{0D596018-1E17-444D-954F-C0AB9FC24A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Master</vt:lpstr>
      <vt:lpstr>Overheads</vt:lpstr>
      <vt:lpstr>Cost of Macs</vt:lpstr>
      <vt:lpstr>Cost of Pecans</vt:lpstr>
      <vt:lpstr>Cost of Ingredients</vt:lpstr>
      <vt:lpstr>Caramel Macadamia</vt:lpstr>
      <vt:lpstr>Salted Macadamia</vt:lpstr>
      <vt:lpstr>Chocolate Coated Macadamias</vt:lpstr>
      <vt:lpstr>Caramel Pecan</vt:lpstr>
      <vt:lpstr>Pecan Nut Pies </vt:lpstr>
      <vt:lpstr>Nuchi</vt:lpstr>
      <vt:lpstr>Choco Bombs</vt:lpstr>
      <vt:lpstr>Macigiano</vt:lpstr>
      <vt:lpstr>Turmeric Syrup</vt:lpstr>
      <vt:lpstr>Flourentiner</vt:lpstr>
      <vt:lpstr>MacStack</vt:lpstr>
      <vt:lpstr>Pecan Bread</vt:lpstr>
      <vt:lpstr>Granola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Nicholas Holford</cp:lastModifiedBy>
  <dcterms:created xsi:type="dcterms:W3CDTF">2023-06-06T06:11:16Z</dcterms:created>
  <dcterms:modified xsi:type="dcterms:W3CDTF">2024-05-16T14:14:39Z</dcterms:modified>
</cp:coreProperties>
</file>